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JMS\PROYECTOS\RED POSITIVA\contabilidad\"/>
    </mc:Choice>
  </mc:AlternateContent>
  <bookViews>
    <workbookView xWindow="0" yWindow="0" windowWidth="16380" windowHeight="8190" tabRatio="500" firstSheet="2" activeTab="3"/>
  </bookViews>
  <sheets>
    <sheet name="Control Inversión BK2" sheetId="24" state="hidden" r:id="rId1"/>
    <sheet name="SOLARES  2, 4 Y 5 JMR EST" sheetId="38" r:id="rId2"/>
    <sheet name="ENSUEÑO 5 FRANCISCO MARTINEZ" sheetId="34" r:id="rId3"/>
    <sheet name="Control Inversión" sheetId="11" r:id="rId4"/>
    <sheet name="Gastos" sheetId="1" r:id="rId5"/>
    <sheet name="FACTIBILIDAD" sheetId="35" r:id="rId6"/>
    <sheet name="Francis Rodríguez" sheetId="28" r:id="rId7"/>
    <sheet name="Sheila Flores" sheetId="27" r:id="rId8"/>
    <sheet name="Ariel Batista" sheetId="26" r:id="rId9"/>
    <sheet name="Pablo Vecino" sheetId="25" r:id="rId10"/>
    <sheet name="AGOSTO" sheetId="2" state="hidden" r:id="rId11"/>
    <sheet name="JULIO" sheetId="3" state="hidden" r:id="rId12"/>
    <sheet name="JUNIO" sheetId="4" state="hidden" r:id="rId13"/>
    <sheet name="MAYO" sheetId="5" state="hidden" r:id="rId14"/>
    <sheet name="Contabilidad RP" sheetId="6" r:id="rId15"/>
    <sheet name="ABRIL" sheetId="7" state="hidden" r:id="rId16"/>
    <sheet name="MARZO" sheetId="8" state="hidden" r:id="rId17"/>
    <sheet name="FEBRERO" sheetId="9" state="hidden" r:id="rId18"/>
    <sheet name="ENERO" sheetId="10" state="hidden" r:id="rId19"/>
    <sheet name="Control Inversión BK" sheetId="22" state="hidden" r:id="rId20"/>
    <sheet name="Hoja1" sheetId="12" state="hidden" r:id="rId21"/>
    <sheet name="Hoja2" sheetId="23" state="hidden" r:id="rId22"/>
    <sheet name="CG DICIEMBRE" sheetId="13" state="hidden" r:id="rId23"/>
    <sheet name="CG NOVIEMBRE" sheetId="14" state="hidden" r:id="rId24"/>
    <sheet name="CG OCTUBRE" sheetId="15" state="hidden" r:id="rId25"/>
    <sheet name="CG SEPTIEMBRE" sheetId="16" state="hidden" r:id="rId26"/>
    <sheet name="CG Agosto" sheetId="17" state="hidden" r:id="rId27"/>
    <sheet name="CG Mayo" sheetId="18" state="hidden" r:id="rId28"/>
    <sheet name="CG Junio" sheetId="19" state="hidden" r:id="rId29"/>
    <sheet name="CG Julio" sheetId="20" state="hidden" r:id="rId30"/>
    <sheet name="VILLA DON JOSE" sheetId="21" state="hidden" r:id="rId3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15" i="11" l="1"/>
  <c r="AF15" i="11"/>
  <c r="AD15" i="11"/>
  <c r="D7" i="38"/>
  <c r="Z47" i="11" l="1"/>
  <c r="AB43" i="11"/>
  <c r="AB42" i="11"/>
  <c r="AB38" i="11"/>
  <c r="AB36" i="11"/>
  <c r="AB34" i="11"/>
  <c r="AB33" i="11"/>
  <c r="AB30" i="11"/>
  <c r="AB23" i="11"/>
  <c r="AB18" i="11"/>
  <c r="AB14" i="11"/>
  <c r="AB12" i="11"/>
  <c r="AB20" i="11"/>
  <c r="AB37" i="11"/>
  <c r="AB11" i="11"/>
  <c r="AB10" i="11"/>
  <c r="AB27" i="11" s="1"/>
  <c r="AC29" i="11"/>
  <c r="AD38" i="11"/>
  <c r="AA37" i="11"/>
  <c r="AC39" i="11"/>
  <c r="AC38" i="11"/>
  <c r="B93" i="1"/>
  <c r="B151" i="1"/>
  <c r="C151" i="1" s="1"/>
  <c r="AB44" i="11" l="1"/>
  <c r="AB45" i="11" s="1"/>
  <c r="B97" i="1"/>
  <c r="C97" i="1" s="1"/>
  <c r="S43" i="11" l="1"/>
  <c r="R43" i="11"/>
  <c r="Q43" i="11"/>
  <c r="P43" i="11"/>
  <c r="O43" i="11"/>
  <c r="N43" i="11"/>
  <c r="M43" i="11"/>
  <c r="L43" i="11"/>
  <c r="K43" i="11"/>
  <c r="J43" i="11"/>
  <c r="I43" i="11"/>
  <c r="H43" i="11"/>
  <c r="G43" i="11"/>
  <c r="F43" i="11"/>
  <c r="E43" i="11"/>
  <c r="D43" i="11"/>
  <c r="C43" i="11"/>
  <c r="B43" i="11"/>
  <c r="AC47" i="11"/>
  <c r="L47" i="11"/>
  <c r="I32" i="11"/>
  <c r="S10" i="11"/>
  <c r="S27" i="11" s="1"/>
  <c r="R10" i="11"/>
  <c r="R27" i="11" s="1"/>
  <c r="Q10" i="11"/>
  <c r="Q27" i="11" s="1"/>
  <c r="P10" i="11"/>
  <c r="P27" i="11" s="1"/>
  <c r="O10" i="11"/>
  <c r="O27" i="11" s="1"/>
  <c r="N10" i="11"/>
  <c r="N27" i="11" s="1"/>
  <c r="M10" i="11"/>
  <c r="M27" i="11" s="1"/>
  <c r="L10" i="11"/>
  <c r="L27" i="11" s="1"/>
  <c r="K10" i="11"/>
  <c r="K27" i="11" s="1"/>
  <c r="J10" i="11"/>
  <c r="J27" i="11" s="1"/>
  <c r="I10" i="11"/>
  <c r="I27" i="11" s="1"/>
  <c r="H10" i="11"/>
  <c r="H27" i="11" s="1"/>
  <c r="G10" i="11"/>
  <c r="G27" i="11" s="1"/>
  <c r="F10" i="11"/>
  <c r="F27" i="11" s="1"/>
  <c r="E10" i="11"/>
  <c r="E27" i="11" s="1"/>
  <c r="D10" i="11"/>
  <c r="D27" i="11" s="1"/>
  <c r="V165" i="11"/>
  <c r="V166" i="11"/>
  <c r="H20" i="1" l="1"/>
  <c r="I26" i="1" l="1"/>
  <c r="H28" i="1" s="1"/>
  <c r="AA23" i="11" l="1"/>
  <c r="AA12" i="11"/>
  <c r="AA18" i="11"/>
  <c r="AA20" i="11"/>
  <c r="AA14" i="11"/>
  <c r="AC48" i="11"/>
  <c r="L8" i="38" l="1"/>
  <c r="A4" i="38" s="1"/>
  <c r="L5" i="38"/>
  <c r="M4" i="38"/>
  <c r="AA43" i="11" l="1"/>
  <c r="AA42" i="11"/>
  <c r="AA38" i="11"/>
  <c r="AA36" i="11"/>
  <c r="AA33" i="11"/>
  <c r="AA34" i="11"/>
  <c r="AA11" i="11"/>
  <c r="AA30" i="11" s="1"/>
  <c r="AA10" i="11"/>
  <c r="AA27" i="11" s="1"/>
  <c r="O10" i="38"/>
  <c r="O12" i="38" s="1"/>
  <c r="P12" i="38" s="1"/>
  <c r="N13" i="38"/>
  <c r="N12" i="38"/>
  <c r="N7" i="38"/>
  <c r="F7" i="38"/>
  <c r="F8" i="38" s="1"/>
  <c r="F9" i="38" s="1"/>
  <c r="F10" i="38" s="1"/>
  <c r="F11" i="38" s="1"/>
  <c r="F12" i="38" s="1"/>
  <c r="F13" i="38" s="1"/>
  <c r="F14" i="38" s="1"/>
  <c r="F15" i="38" s="1"/>
  <c r="F16" i="38" s="1"/>
  <c r="F17" i="38" s="1"/>
  <c r="F18" i="38" s="1"/>
  <c r="F19" i="38" s="1"/>
  <c r="F20" i="38" s="1"/>
  <c r="F21" i="38" s="1"/>
  <c r="F22" i="38" s="1"/>
  <c r="F23" i="38" s="1"/>
  <c r="F24" i="38" s="1"/>
  <c r="F25" i="38" s="1"/>
  <c r="F26" i="38" s="1"/>
  <c r="F27" i="38" s="1"/>
  <c r="F28" i="38" s="1"/>
  <c r="F29" i="38" s="1"/>
  <c r="F30" i="38" s="1"/>
  <c r="F31" i="38" s="1"/>
  <c r="F32" i="38" s="1"/>
  <c r="F33" i="38" s="1"/>
  <c r="F34" i="38" s="1"/>
  <c r="F35" i="38" s="1"/>
  <c r="F36" i="38" s="1"/>
  <c r="F37" i="38" s="1"/>
  <c r="F38" i="38" s="1"/>
  <c r="F39" i="38" s="1"/>
  <c r="F40" i="38" s="1"/>
  <c r="F41" i="38" s="1"/>
  <c r="F42" i="38" s="1"/>
  <c r="F43" i="38" s="1"/>
  <c r="F44" i="38" s="1"/>
  <c r="F45" i="38" s="1"/>
  <c r="F46" i="38" s="1"/>
  <c r="F47" i="38" s="1"/>
  <c r="F48" i="38" s="1"/>
  <c r="F49" i="38" s="1"/>
  <c r="F50" i="38" s="1"/>
  <c r="F51" i="38" s="1"/>
  <c r="F52" i="38" s="1"/>
  <c r="F53" i="38" s="1"/>
  <c r="F54" i="38" s="1"/>
  <c r="F55" i="38" s="1"/>
  <c r="F56" i="38" s="1"/>
  <c r="F57" i="38" s="1"/>
  <c r="F58" i="38" s="1"/>
  <c r="F59" i="38" s="1"/>
  <c r="F60" i="38" s="1"/>
  <c r="F61" i="38" s="1"/>
  <c r="F62" i="38" s="1"/>
  <c r="F63" i="38" s="1"/>
  <c r="F64" i="38" s="1"/>
  <c r="F65" i="38" s="1"/>
  <c r="F66" i="38" s="1"/>
  <c r="F67" i="38" s="1"/>
  <c r="F68" i="38" s="1"/>
  <c r="F69" i="38" s="1"/>
  <c r="F70" i="38" s="1"/>
  <c r="F71" i="38" s="1"/>
  <c r="F72" i="38" s="1"/>
  <c r="F73" i="38" s="1"/>
  <c r="F74" i="38" s="1"/>
  <c r="F75" i="38" s="1"/>
  <c r="F76" i="38" s="1"/>
  <c r="F77" i="38" s="1"/>
  <c r="F78" i="38" s="1"/>
  <c r="F79" i="38" s="1"/>
  <c r="F80" i="38" s="1"/>
  <c r="F81" i="38" s="1"/>
  <c r="F82" i="38" s="1"/>
  <c r="F83" i="38" s="1"/>
  <c r="F84" i="38" s="1"/>
  <c r="F85" i="38" s="1"/>
  <c r="F86" i="38" s="1"/>
  <c r="F87" i="38" s="1"/>
  <c r="F88" i="38" s="1"/>
  <c r="F89" i="38" s="1"/>
  <c r="F90" i="38" s="1"/>
  <c r="F91" i="38" s="1"/>
  <c r="F92" i="38" s="1"/>
  <c r="F93" i="38" s="1"/>
  <c r="F94" i="38" s="1"/>
  <c r="F95" i="38" s="1"/>
  <c r="F96" i="38" s="1"/>
  <c r="F97" i="38" s="1"/>
  <c r="F98" i="38" s="1"/>
  <c r="F99" i="38" s="1"/>
  <c r="F100" i="38" s="1"/>
  <c r="F101" i="38" s="1"/>
  <c r="F102" i="38" s="1"/>
  <c r="F103" i="38" s="1"/>
  <c r="F104" i="38" s="1"/>
  <c r="F105" i="38" s="1"/>
  <c r="F106" i="38" s="1"/>
  <c r="F107" i="38" s="1"/>
  <c r="F108" i="38" s="1"/>
  <c r="F109" i="38" s="1"/>
  <c r="F110" i="38" s="1"/>
  <c r="F111" i="38" s="1"/>
  <c r="F112" i="38" s="1"/>
  <c r="F113" i="38" s="1"/>
  <c r="F114" i="38" s="1"/>
  <c r="F115" i="38" s="1"/>
  <c r="F116" i="38" s="1"/>
  <c r="F117" i="38" s="1"/>
  <c r="F118" i="38" s="1"/>
  <c r="F119" i="38" s="1"/>
  <c r="F120" i="38" s="1"/>
  <c r="F121" i="38" s="1"/>
  <c r="F122" i="38" s="1"/>
  <c r="F123" i="38" s="1"/>
  <c r="F124" i="38" s="1"/>
  <c r="F125" i="38" s="1"/>
  <c r="F126" i="38" s="1"/>
  <c r="F127" i="38" s="1"/>
  <c r="L10" i="38"/>
  <c r="C130" i="38"/>
  <c r="E7" i="38"/>
  <c r="E8" i="38" s="1"/>
  <c r="E9" i="38" s="1"/>
  <c r="E10" i="38" s="1"/>
  <c r="E11" i="38" s="1"/>
  <c r="E12" i="38" s="1"/>
  <c r="E13" i="38" s="1"/>
  <c r="E14" i="38" s="1"/>
  <c r="E15" i="38" s="1"/>
  <c r="E16" i="38" s="1"/>
  <c r="E17" i="38" s="1"/>
  <c r="E18" i="38" s="1"/>
  <c r="E19" i="38" s="1"/>
  <c r="E20" i="38" s="1"/>
  <c r="E21" i="38" s="1"/>
  <c r="E22" i="38" s="1"/>
  <c r="E23" i="38" s="1"/>
  <c r="E24" i="38" s="1"/>
  <c r="E25" i="38" s="1"/>
  <c r="E26" i="38" s="1"/>
  <c r="E27" i="38" s="1"/>
  <c r="E28" i="38" s="1"/>
  <c r="E29" i="38" s="1"/>
  <c r="E30" i="38" s="1"/>
  <c r="E31" i="38" s="1"/>
  <c r="E32" i="38" s="1"/>
  <c r="E33" i="38" s="1"/>
  <c r="E34" i="38" s="1"/>
  <c r="E35" i="38" s="1"/>
  <c r="E36" i="38" s="1"/>
  <c r="E37" i="38" s="1"/>
  <c r="E38" i="38" s="1"/>
  <c r="E39" i="38" s="1"/>
  <c r="E40" i="38" s="1"/>
  <c r="E41" i="38" s="1"/>
  <c r="E42" i="38" s="1"/>
  <c r="E43" i="38" s="1"/>
  <c r="E44" i="38" s="1"/>
  <c r="E45" i="38" s="1"/>
  <c r="E46" i="38" s="1"/>
  <c r="E47" i="38" s="1"/>
  <c r="E48" i="38" s="1"/>
  <c r="E49" i="38" s="1"/>
  <c r="E50" i="38" s="1"/>
  <c r="E51" i="38" s="1"/>
  <c r="E52" i="38" s="1"/>
  <c r="E53" i="38" s="1"/>
  <c r="E54" i="38" s="1"/>
  <c r="E55" i="38" s="1"/>
  <c r="E56" i="38" s="1"/>
  <c r="E57" i="38" s="1"/>
  <c r="E58" i="38" s="1"/>
  <c r="E59" i="38" s="1"/>
  <c r="E60" i="38" s="1"/>
  <c r="E61" i="38" s="1"/>
  <c r="E62" i="38" s="1"/>
  <c r="E63" i="38" s="1"/>
  <c r="E64" i="38" s="1"/>
  <c r="E65" i="38" s="1"/>
  <c r="E66" i="38" s="1"/>
  <c r="E67" i="38" s="1"/>
  <c r="E68" i="38" s="1"/>
  <c r="E69" i="38" s="1"/>
  <c r="E70" i="38" s="1"/>
  <c r="E71" i="38" s="1"/>
  <c r="E72" i="38" s="1"/>
  <c r="E73" i="38" s="1"/>
  <c r="E74" i="38" s="1"/>
  <c r="E75" i="38" s="1"/>
  <c r="E76" i="38" s="1"/>
  <c r="E77" i="38" s="1"/>
  <c r="E78" i="38" s="1"/>
  <c r="E79" i="38" s="1"/>
  <c r="E80" i="38" s="1"/>
  <c r="E81" i="38" s="1"/>
  <c r="E82" i="38" s="1"/>
  <c r="E83" i="38" s="1"/>
  <c r="E84" i="38" s="1"/>
  <c r="E85" i="38" s="1"/>
  <c r="E86" i="38" s="1"/>
  <c r="E87" i="38" s="1"/>
  <c r="E88" i="38" s="1"/>
  <c r="E89" i="38" s="1"/>
  <c r="E90" i="38" s="1"/>
  <c r="E91" i="38" s="1"/>
  <c r="E92" i="38" s="1"/>
  <c r="E93" i="38" s="1"/>
  <c r="E94" i="38" s="1"/>
  <c r="E95" i="38" s="1"/>
  <c r="E96" i="38" s="1"/>
  <c r="E97" i="38" s="1"/>
  <c r="E98" i="38" s="1"/>
  <c r="E99" i="38" s="1"/>
  <c r="E100" i="38" s="1"/>
  <c r="E101" i="38" s="1"/>
  <c r="E102" i="38" s="1"/>
  <c r="E103" i="38" s="1"/>
  <c r="E104" i="38" s="1"/>
  <c r="E105" i="38" s="1"/>
  <c r="E106" i="38" s="1"/>
  <c r="E107" i="38" s="1"/>
  <c r="E108" i="38" s="1"/>
  <c r="E109" i="38" s="1"/>
  <c r="E110" i="38" s="1"/>
  <c r="E111" i="38" s="1"/>
  <c r="E112" i="38" s="1"/>
  <c r="E113" i="38" s="1"/>
  <c r="E114" i="38" s="1"/>
  <c r="E115" i="38" s="1"/>
  <c r="E116" i="38" s="1"/>
  <c r="E117" i="38" s="1"/>
  <c r="E118" i="38" s="1"/>
  <c r="E119" i="38" s="1"/>
  <c r="E120" i="38" s="1"/>
  <c r="E121" i="38" s="1"/>
  <c r="E122" i="38" s="1"/>
  <c r="E123" i="38" s="1"/>
  <c r="E124" i="38" s="1"/>
  <c r="E125" i="38" s="1"/>
  <c r="E126" i="38" s="1"/>
  <c r="E127" i="38" s="1"/>
  <c r="AA44" i="11" l="1"/>
  <c r="J13" i="38"/>
  <c r="B7" i="38"/>
  <c r="J2" i="38"/>
  <c r="A7" i="38" s="1"/>
  <c r="J14" i="38"/>
  <c r="AA45" i="11" l="1"/>
  <c r="AB46" i="11"/>
  <c r="AB47" i="11" s="1"/>
  <c r="C7" i="38"/>
  <c r="A8" i="38"/>
  <c r="B8" i="38" l="1"/>
  <c r="C8" i="38" s="1"/>
  <c r="D8" i="38" s="1"/>
  <c r="A9" i="38"/>
  <c r="L36" i="28"/>
  <c r="M46" i="28"/>
  <c r="L46" i="28"/>
  <c r="M44" i="28"/>
  <c r="M43" i="28"/>
  <c r="M42" i="28"/>
  <c r="B9" i="38" l="1"/>
  <c r="C9" i="38" s="1"/>
  <c r="D9" i="38" s="1"/>
  <c r="A10" i="38"/>
  <c r="E409" i="1"/>
  <c r="E525" i="1"/>
  <c r="D525" i="1"/>
  <c r="B45" i="1"/>
  <c r="B10" i="38" l="1"/>
  <c r="C10" i="38" s="1"/>
  <c r="D10" i="38" s="1"/>
  <c r="A11" i="38"/>
  <c r="Z23" i="11"/>
  <c r="Z12" i="11"/>
  <c r="Z29" i="11"/>
  <c r="Z33" i="11"/>
  <c r="Z20" i="11"/>
  <c r="Z18" i="11"/>
  <c r="Z16" i="11"/>
  <c r="Z15" i="11"/>
  <c r="Z14" i="11"/>
  <c r="Y29" i="11"/>
  <c r="B11" i="38" l="1"/>
  <c r="C11" i="38" s="1"/>
  <c r="D11" i="38" s="1"/>
  <c r="A12" i="38"/>
  <c r="H386" i="1"/>
  <c r="G386" i="1"/>
  <c r="K384" i="1"/>
  <c r="J384" i="1"/>
  <c r="I384" i="1"/>
  <c r="G383" i="1"/>
  <c r="K378" i="1"/>
  <c r="K377" i="1"/>
  <c r="G377" i="1"/>
  <c r="I377" i="1" s="1"/>
  <c r="H380" i="1"/>
  <c r="J378" i="1"/>
  <c r="I378" i="1"/>
  <c r="M370" i="1"/>
  <c r="J371" i="1"/>
  <c r="H373" i="1"/>
  <c r="I371" i="1"/>
  <c r="G370" i="1"/>
  <c r="J370" i="1" s="1"/>
  <c r="B12" i="38" l="1"/>
  <c r="C12" i="38" s="1"/>
  <c r="D12" i="38" s="1"/>
  <c r="A13" i="38"/>
  <c r="G373" i="1"/>
  <c r="G380" i="1"/>
  <c r="I380" i="1" s="1"/>
  <c r="I386" i="1"/>
  <c r="I383" i="1"/>
  <c r="J377" i="1"/>
  <c r="I370" i="1"/>
  <c r="I373" i="1"/>
  <c r="Z10" i="11"/>
  <c r="Z27" i="11" s="1"/>
  <c r="B13" i="38" l="1"/>
  <c r="A14" i="38"/>
  <c r="C13" i="38"/>
  <c r="D13" i="38" s="1"/>
  <c r="B14" i="38" l="1"/>
  <c r="A15" i="38"/>
  <c r="C14" i="38"/>
  <c r="D14" i="38" s="1"/>
  <c r="Z43" i="11"/>
  <c r="Z42" i="11"/>
  <c r="Z39" i="11"/>
  <c r="Z38" i="11"/>
  <c r="Z36" i="11"/>
  <c r="B15" i="38" l="1"/>
  <c r="C15" i="38" s="1"/>
  <c r="D15" i="38" s="1"/>
  <c r="A16" i="38"/>
  <c r="K38" i="27"/>
  <c r="K37" i="27"/>
  <c r="C139" i="27"/>
  <c r="L49" i="27"/>
  <c r="L53" i="27"/>
  <c r="L56" i="27" s="1"/>
  <c r="L51" i="27"/>
  <c r="B16" i="38" l="1"/>
  <c r="C16" i="38" s="1"/>
  <c r="D16" i="38" s="1"/>
  <c r="A17" i="38"/>
  <c r="Z11" i="11"/>
  <c r="Z30" i="11" s="1"/>
  <c r="Z44" i="11" s="1"/>
  <c r="Y20" i="11"/>
  <c r="Y16" i="11"/>
  <c r="B17" i="38" l="1"/>
  <c r="C17" i="38" s="1"/>
  <c r="D17" i="38" s="1"/>
  <c r="A18" i="38"/>
  <c r="Y15" i="11"/>
  <c r="Y32" i="11" s="1"/>
  <c r="Y18" i="11"/>
  <c r="Y35" i="11" s="1"/>
  <c r="Y10" i="11"/>
  <c r="Y27" i="11" s="1"/>
  <c r="Z45" i="11" l="1"/>
  <c r="AA46" i="11"/>
  <c r="AA47" i="11" s="1"/>
  <c r="B18" i="38"/>
  <c r="C18" i="38" s="1"/>
  <c r="D18" i="38" s="1"/>
  <c r="A19" i="38"/>
  <c r="B525" i="1"/>
  <c r="C525" i="1" s="1"/>
  <c r="B19" i="38" l="1"/>
  <c r="C19" i="38" s="1"/>
  <c r="D19" i="38" s="1"/>
  <c r="L19" i="38"/>
  <c r="A20" i="38"/>
  <c r="F80" i="28"/>
  <c r="F81" i="28" s="1"/>
  <c r="F82" i="28" s="1"/>
  <c r="F83" i="28" s="1"/>
  <c r="F84" i="28" s="1"/>
  <c r="F85" i="28" s="1"/>
  <c r="F86" i="28" s="1"/>
  <c r="F87" i="28" s="1"/>
  <c r="F88" i="28" s="1"/>
  <c r="F89" i="28" s="1"/>
  <c r="F90" i="28" s="1"/>
  <c r="F91" i="28" s="1"/>
  <c r="F92" i="28" s="1"/>
  <c r="F93" i="28" s="1"/>
  <c r="F94" i="28" s="1"/>
  <c r="F95" i="28" s="1"/>
  <c r="F96" i="28" s="1"/>
  <c r="F97" i="28" s="1"/>
  <c r="F98" i="28" s="1"/>
  <c r="F99" i="28" s="1"/>
  <c r="F100" i="28" s="1"/>
  <c r="F79" i="28"/>
  <c r="F78" i="28"/>
  <c r="F77" i="28"/>
  <c r="E77" i="28"/>
  <c r="E78" i="28" s="1"/>
  <c r="E79" i="28" s="1"/>
  <c r="E80" i="28" s="1"/>
  <c r="E81" i="28" s="1"/>
  <c r="E82" i="28" s="1"/>
  <c r="E83" i="28" s="1"/>
  <c r="E84" i="28" s="1"/>
  <c r="E85" i="28" s="1"/>
  <c r="E86" i="28" s="1"/>
  <c r="E87" i="28" s="1"/>
  <c r="E88" i="28" s="1"/>
  <c r="E89" i="28" s="1"/>
  <c r="E90" i="28" s="1"/>
  <c r="E91" i="28" s="1"/>
  <c r="E92" i="28" s="1"/>
  <c r="E93" i="28" s="1"/>
  <c r="E94" i="28" s="1"/>
  <c r="E95" i="28" s="1"/>
  <c r="E96" i="28" s="1"/>
  <c r="E97" i="28" s="1"/>
  <c r="E98" i="28" s="1"/>
  <c r="E99" i="28" s="1"/>
  <c r="E100" i="28" s="1"/>
  <c r="A77" i="28"/>
  <c r="A78" i="28" s="1"/>
  <c r="B20" i="38" l="1"/>
  <c r="C20" i="38" s="1"/>
  <c r="D20" i="38" s="1"/>
  <c r="A21" i="38"/>
  <c r="A79" i="28"/>
  <c r="X16" i="11"/>
  <c r="B21" i="38" l="1"/>
  <c r="C21" i="38" s="1"/>
  <c r="D21" i="38" s="1"/>
  <c r="A22" i="38"/>
  <c r="A80" i="28"/>
  <c r="W144" i="11"/>
  <c r="A23" i="38" l="1"/>
  <c r="B22" i="38"/>
  <c r="C22" i="38" s="1"/>
  <c r="D22" i="38" s="1"/>
  <c r="A81" i="28"/>
  <c r="Y43" i="11"/>
  <c r="Y42" i="11"/>
  <c r="Y41" i="11"/>
  <c r="Y40" i="11"/>
  <c r="Y39" i="11"/>
  <c r="Y38" i="11"/>
  <c r="Y36" i="11"/>
  <c r="Y23" i="11"/>
  <c r="Y37" i="11"/>
  <c r="Y33" i="11"/>
  <c r="Y34" i="11"/>
  <c r="Y14" i="11"/>
  <c r="Y31" i="11" s="1"/>
  <c r="Y11" i="11"/>
  <c r="Y30" i="11" s="1"/>
  <c r="Y44" i="11" s="1"/>
  <c r="T11" i="11"/>
  <c r="X18" i="11"/>
  <c r="X14" i="11"/>
  <c r="B455" i="1"/>
  <c r="B421" i="1"/>
  <c r="B23" i="38" l="1"/>
  <c r="A24" i="38"/>
  <c r="C23" i="38"/>
  <c r="D23" i="38" s="1"/>
  <c r="A82" i="28"/>
  <c r="Z46" i="11"/>
  <c r="L5" i="35"/>
  <c r="L6" i="35"/>
  <c r="I6" i="35"/>
  <c r="E6" i="35"/>
  <c r="J6" i="35" s="1"/>
  <c r="I5" i="35"/>
  <c r="G5" i="35"/>
  <c r="K5" i="35" s="1"/>
  <c r="E5" i="35"/>
  <c r="J5" i="35" s="1"/>
  <c r="B24" i="38" l="1"/>
  <c r="C24" i="38" s="1"/>
  <c r="D24" i="38" s="1"/>
  <c r="A25" i="38"/>
  <c r="A83" i="28"/>
  <c r="Y45" i="11"/>
  <c r="M5" i="35"/>
  <c r="N5" i="35" s="1"/>
  <c r="G6" i="35"/>
  <c r="K6" i="35" s="1"/>
  <c r="M6" i="35" s="1"/>
  <c r="N6" i="35" s="1"/>
  <c r="I4" i="35"/>
  <c r="L4" i="35"/>
  <c r="E4" i="35"/>
  <c r="J4" i="35" s="1"/>
  <c r="B25" i="38" l="1"/>
  <c r="C25" i="38" s="1"/>
  <c r="D25" i="38" s="1"/>
  <c r="A26" i="38"/>
  <c r="A84" i="28"/>
  <c r="G4" i="35"/>
  <c r="K4" i="35" s="1"/>
  <c r="M4" i="35" s="1"/>
  <c r="N4" i="35" s="1"/>
  <c r="B466" i="1"/>
  <c r="C466" i="1" s="1"/>
  <c r="B26" i="38" l="1"/>
  <c r="C26" i="38" s="1"/>
  <c r="D26" i="38" s="1"/>
  <c r="A27" i="38"/>
  <c r="A85" i="28"/>
  <c r="B27" i="38" l="1"/>
  <c r="C27" i="38" s="1"/>
  <c r="D27" i="38" s="1"/>
  <c r="A28" i="38"/>
  <c r="A86" i="28"/>
  <c r="I18" i="1"/>
  <c r="J18" i="1" s="1"/>
  <c r="B28" i="38" l="1"/>
  <c r="C28" i="38" s="1"/>
  <c r="D28" i="38" s="1"/>
  <c r="A29" i="38"/>
  <c r="A87" i="28"/>
  <c r="E48" i="34"/>
  <c r="E49" i="34" s="1"/>
  <c r="E50" i="34" s="1"/>
  <c r="E51" i="34" s="1"/>
  <c r="E52" i="34" s="1"/>
  <c r="E53" i="34" s="1"/>
  <c r="E54" i="34" s="1"/>
  <c r="E55" i="34" s="1"/>
  <c r="E56" i="34" s="1"/>
  <c r="E57" i="34" s="1"/>
  <c r="E58" i="34" s="1"/>
  <c r="E59" i="34" s="1"/>
  <c r="E60" i="34" s="1"/>
  <c r="E61" i="34" s="1"/>
  <c r="E62" i="34" s="1"/>
  <c r="E63" i="34" s="1"/>
  <c r="E64" i="34" s="1"/>
  <c r="E65" i="34" s="1"/>
  <c r="E66" i="34" s="1"/>
  <c r="E67" i="34" s="1"/>
  <c r="E68" i="34" s="1"/>
  <c r="E69" i="34" s="1"/>
  <c r="E70" i="34" s="1"/>
  <c r="E71" i="34" s="1"/>
  <c r="E72" i="34" s="1"/>
  <c r="E73" i="34" s="1"/>
  <c r="E74" i="34" s="1"/>
  <c r="E75" i="34" s="1"/>
  <c r="E76" i="34" s="1"/>
  <c r="E77" i="34" s="1"/>
  <c r="E78" i="34" s="1"/>
  <c r="E79" i="34" s="1"/>
  <c r="E80" i="34" s="1"/>
  <c r="E81" i="34" s="1"/>
  <c r="E82" i="34" s="1"/>
  <c r="E83" i="34" s="1"/>
  <c r="E84" i="34" s="1"/>
  <c r="E85" i="34" s="1"/>
  <c r="E86" i="34" s="1"/>
  <c r="E87" i="34" s="1"/>
  <c r="E88" i="34" s="1"/>
  <c r="E89" i="34" s="1"/>
  <c r="E90" i="34" s="1"/>
  <c r="E91" i="34" s="1"/>
  <c r="E92" i="34" s="1"/>
  <c r="E93" i="34" s="1"/>
  <c r="E94" i="34" s="1"/>
  <c r="E95" i="34" s="1"/>
  <c r="E96" i="34" s="1"/>
  <c r="E97" i="34" s="1"/>
  <c r="E98" i="34" s="1"/>
  <c r="E99" i="34" s="1"/>
  <c r="E100" i="34" s="1"/>
  <c r="E101" i="34" s="1"/>
  <c r="E102" i="34" s="1"/>
  <c r="E103" i="34" s="1"/>
  <c r="E104" i="34" s="1"/>
  <c r="E105" i="34" s="1"/>
  <c r="E106" i="34" s="1"/>
  <c r="E107" i="34" s="1"/>
  <c r="E108" i="34" s="1"/>
  <c r="E109" i="34" s="1"/>
  <c r="E110" i="34" s="1"/>
  <c r="E111" i="34" s="1"/>
  <c r="E112" i="34" s="1"/>
  <c r="E113" i="34" s="1"/>
  <c r="E114" i="34" s="1"/>
  <c r="E115" i="34" s="1"/>
  <c r="E116" i="34" s="1"/>
  <c r="F47" i="34"/>
  <c r="F48" i="34" s="1"/>
  <c r="F49" i="34" s="1"/>
  <c r="F50" i="34" s="1"/>
  <c r="F51" i="34" s="1"/>
  <c r="F52" i="34" s="1"/>
  <c r="F53" i="34" s="1"/>
  <c r="F54" i="34" s="1"/>
  <c r="F55" i="34" s="1"/>
  <c r="F56" i="34" s="1"/>
  <c r="F57" i="34" s="1"/>
  <c r="F58" i="34" s="1"/>
  <c r="F59" i="34" s="1"/>
  <c r="F60" i="34" s="1"/>
  <c r="F61" i="34" s="1"/>
  <c r="F62" i="34" s="1"/>
  <c r="F63" i="34" s="1"/>
  <c r="F64" i="34" s="1"/>
  <c r="F65" i="34" s="1"/>
  <c r="F66" i="34" s="1"/>
  <c r="F67" i="34" s="1"/>
  <c r="F68" i="34" s="1"/>
  <c r="F69" i="34" s="1"/>
  <c r="F70" i="34" s="1"/>
  <c r="F71" i="34" s="1"/>
  <c r="F72" i="34" s="1"/>
  <c r="F73" i="34" s="1"/>
  <c r="F74" i="34" s="1"/>
  <c r="F75" i="34" s="1"/>
  <c r="F76" i="34" s="1"/>
  <c r="F77" i="34" s="1"/>
  <c r="F78" i="34" s="1"/>
  <c r="F79" i="34" s="1"/>
  <c r="F80" i="34" s="1"/>
  <c r="F81" i="34" s="1"/>
  <c r="F82" i="34" s="1"/>
  <c r="F83" i="34" s="1"/>
  <c r="F84" i="34" s="1"/>
  <c r="F85" i="34" s="1"/>
  <c r="F86" i="34" s="1"/>
  <c r="F87" i="34" s="1"/>
  <c r="F88" i="34" s="1"/>
  <c r="F89" i="34" s="1"/>
  <c r="F90" i="34" s="1"/>
  <c r="F91" i="34" s="1"/>
  <c r="F92" i="34" s="1"/>
  <c r="F93" i="34" s="1"/>
  <c r="F94" i="34" s="1"/>
  <c r="F95" i="34" s="1"/>
  <c r="F96" i="34" s="1"/>
  <c r="F97" i="34" s="1"/>
  <c r="F98" i="34" s="1"/>
  <c r="F99" i="34" s="1"/>
  <c r="F100" i="34" s="1"/>
  <c r="F101" i="34" s="1"/>
  <c r="F102" i="34" s="1"/>
  <c r="F103" i="34" s="1"/>
  <c r="F104" i="34" s="1"/>
  <c r="F105" i="34" s="1"/>
  <c r="F106" i="34" s="1"/>
  <c r="F107" i="34" s="1"/>
  <c r="F108" i="34" s="1"/>
  <c r="F109" i="34" s="1"/>
  <c r="F110" i="34" s="1"/>
  <c r="F111" i="34" s="1"/>
  <c r="F112" i="34" s="1"/>
  <c r="F113" i="34" s="1"/>
  <c r="F114" i="34" s="1"/>
  <c r="F115" i="34" s="1"/>
  <c r="F116" i="34" s="1"/>
  <c r="E47" i="34"/>
  <c r="B47" i="34"/>
  <c r="A47" i="34"/>
  <c r="A48" i="34" s="1"/>
  <c r="F7" i="34"/>
  <c r="F8" i="34" s="1"/>
  <c r="F9" i="34" s="1"/>
  <c r="F10" i="34" s="1"/>
  <c r="F11" i="34" s="1"/>
  <c r="F12" i="34" s="1"/>
  <c r="F13" i="34" s="1"/>
  <c r="F14" i="34" s="1"/>
  <c r="F15" i="34" s="1"/>
  <c r="F16" i="34" s="1"/>
  <c r="F17" i="34" s="1"/>
  <c r="F18" i="34" s="1"/>
  <c r="F19" i="34" s="1"/>
  <c r="F20" i="34" s="1"/>
  <c r="F21" i="34" s="1"/>
  <c r="F22" i="34" s="1"/>
  <c r="F23" i="34" s="1"/>
  <c r="F24" i="34" s="1"/>
  <c r="F25" i="34" s="1"/>
  <c r="F26" i="34" s="1"/>
  <c r="F27" i="34" s="1"/>
  <c r="F28" i="34" s="1"/>
  <c r="F29" i="34" s="1"/>
  <c r="F30" i="34" s="1"/>
  <c r="F31" i="34" s="1"/>
  <c r="F32" i="34" s="1"/>
  <c r="F33" i="34" s="1"/>
  <c r="F34" i="34" s="1"/>
  <c r="F35" i="34" s="1"/>
  <c r="F36" i="34" s="1"/>
  <c r="F37" i="34" s="1"/>
  <c r="F38" i="34" s="1"/>
  <c r="F39" i="34" s="1"/>
  <c r="F40" i="34" s="1"/>
  <c r="F41" i="34" s="1"/>
  <c r="F42" i="34" s="1"/>
  <c r="F43" i="34" s="1"/>
  <c r="E7" i="34"/>
  <c r="E8" i="34" s="1"/>
  <c r="E9" i="34" s="1"/>
  <c r="E10" i="34" s="1"/>
  <c r="E11" i="34" s="1"/>
  <c r="E12" i="34" s="1"/>
  <c r="E13" i="34" s="1"/>
  <c r="E14" i="34" s="1"/>
  <c r="E15" i="34" s="1"/>
  <c r="E16" i="34" s="1"/>
  <c r="E17" i="34" s="1"/>
  <c r="E18" i="34" s="1"/>
  <c r="E19" i="34" s="1"/>
  <c r="E20" i="34" s="1"/>
  <c r="E21" i="34" s="1"/>
  <c r="E22" i="34" s="1"/>
  <c r="E23" i="34" s="1"/>
  <c r="E24" i="34" s="1"/>
  <c r="E25" i="34" s="1"/>
  <c r="E26" i="34" s="1"/>
  <c r="E27" i="34" s="1"/>
  <c r="E28" i="34" s="1"/>
  <c r="E29" i="34" s="1"/>
  <c r="E30" i="34" s="1"/>
  <c r="E31" i="34" s="1"/>
  <c r="E32" i="34" s="1"/>
  <c r="E33" i="34" s="1"/>
  <c r="E34" i="34" s="1"/>
  <c r="E35" i="34" s="1"/>
  <c r="E36" i="34" s="1"/>
  <c r="E37" i="34" s="1"/>
  <c r="E38" i="34" s="1"/>
  <c r="E39" i="34" s="1"/>
  <c r="E40" i="34" s="1"/>
  <c r="E41" i="34" s="1"/>
  <c r="E42" i="34" s="1"/>
  <c r="E43" i="34" s="1"/>
  <c r="B7" i="34"/>
  <c r="M4" i="34"/>
  <c r="I1" i="34"/>
  <c r="A7" i="34" s="1"/>
  <c r="B29" i="38" l="1"/>
  <c r="A30" i="38"/>
  <c r="C29" i="38"/>
  <c r="D29" i="38" s="1"/>
  <c r="A88" i="28"/>
  <c r="C47" i="34"/>
  <c r="D47" i="34" s="1"/>
  <c r="B48" i="34"/>
  <c r="C48" i="34" s="1"/>
  <c r="D48" i="34" s="1"/>
  <c r="C7" i="34"/>
  <c r="D7" i="34" s="1"/>
  <c r="A8" i="34"/>
  <c r="A49" i="34"/>
  <c r="X43" i="11"/>
  <c r="X15" i="11"/>
  <c r="AE27" i="11"/>
  <c r="AE26" i="11"/>
  <c r="X20" i="11"/>
  <c r="AE14" i="11"/>
  <c r="X41" i="11"/>
  <c r="B30" i="38" l="1"/>
  <c r="C30" i="38" s="1"/>
  <c r="D30" i="38" s="1"/>
  <c r="A31" i="38"/>
  <c r="A89" i="28"/>
  <c r="B49" i="34"/>
  <c r="C49" i="34" s="1"/>
  <c r="D49" i="34" s="1"/>
  <c r="A50" i="34"/>
  <c r="A9" i="34"/>
  <c r="B8" i="34"/>
  <c r="C8" i="34" s="1"/>
  <c r="D8" i="34" s="1"/>
  <c r="U162" i="11"/>
  <c r="F283" i="1"/>
  <c r="B31" i="38" l="1"/>
  <c r="C31" i="38" s="1"/>
  <c r="D31" i="38" s="1"/>
  <c r="A32" i="38"/>
  <c r="A90" i="28"/>
  <c r="B50" i="34"/>
  <c r="C50" i="34" s="1"/>
  <c r="D50" i="34" s="1"/>
  <c r="B9" i="34"/>
  <c r="C9" i="34" s="1"/>
  <c r="D9" i="34" s="1"/>
  <c r="A10" i="34"/>
  <c r="A51" i="34"/>
  <c r="W145" i="11"/>
  <c r="X37" i="11"/>
  <c r="X33" i="11"/>
  <c r="B32" i="38" l="1"/>
  <c r="C32" i="38" s="1"/>
  <c r="D32" i="38" s="1"/>
  <c r="A33" i="38"/>
  <c r="A91" i="28"/>
  <c r="B51" i="34"/>
  <c r="C51" i="34" s="1"/>
  <c r="D51" i="34" s="1"/>
  <c r="B10" i="34"/>
  <c r="C10" i="34" s="1"/>
  <c r="D10" i="34" s="1"/>
  <c r="A52" i="34"/>
  <c r="A11" i="34"/>
  <c r="A72" i="11"/>
  <c r="AE16" i="11" s="1"/>
  <c r="B33" i="38" l="1"/>
  <c r="A34" i="38"/>
  <c r="C33" i="38"/>
  <c r="D33" i="38" s="1"/>
  <c r="A92" i="28"/>
  <c r="AD16" i="11"/>
  <c r="AF16" i="11" s="1"/>
  <c r="B52" i="34"/>
  <c r="C52" i="34" s="1"/>
  <c r="D52" i="34" s="1"/>
  <c r="B11" i="34"/>
  <c r="C11" i="34"/>
  <c r="D11" i="34" s="1"/>
  <c r="A12" i="34"/>
  <c r="A53" i="34"/>
  <c r="B34" i="38" l="1"/>
  <c r="C34" i="38" s="1"/>
  <c r="D34" i="38" s="1"/>
  <c r="A35" i="38"/>
  <c r="A93" i="28"/>
  <c r="B53" i="34"/>
  <c r="C53" i="34" s="1"/>
  <c r="D53" i="34" s="1"/>
  <c r="B12" i="34"/>
  <c r="C12" i="34" s="1"/>
  <c r="D12" i="34" s="1"/>
  <c r="A54" i="34"/>
  <c r="A13" i="34"/>
  <c r="B35" i="38" l="1"/>
  <c r="C35" i="38" s="1"/>
  <c r="D35" i="38" s="1"/>
  <c r="A36" i="38"/>
  <c r="A94" i="28"/>
  <c r="B54" i="34"/>
  <c r="C54" i="34" s="1"/>
  <c r="D54" i="34" s="1"/>
  <c r="B13" i="34"/>
  <c r="C13" i="34" s="1"/>
  <c r="D13" i="34" s="1"/>
  <c r="A14" i="34"/>
  <c r="A55" i="34"/>
  <c r="M40" i="27"/>
  <c r="B36" i="38" l="1"/>
  <c r="A37" i="38"/>
  <c r="C36" i="38"/>
  <c r="D36" i="38" s="1"/>
  <c r="A95" i="28"/>
  <c r="B55" i="34"/>
  <c r="C55" i="34" s="1"/>
  <c r="D55" i="34" s="1"/>
  <c r="B14" i="34"/>
  <c r="C14" i="34" s="1"/>
  <c r="D14" i="34" s="1"/>
  <c r="A56" i="34"/>
  <c r="A15" i="34"/>
  <c r="B37" i="38" l="1"/>
  <c r="A38" i="38"/>
  <c r="C37" i="38"/>
  <c r="D37" i="38" s="1"/>
  <c r="A96" i="28"/>
  <c r="B56" i="34"/>
  <c r="C56" i="34" s="1"/>
  <c r="D56" i="34" s="1"/>
  <c r="B15" i="34"/>
  <c r="C15" i="34" s="1"/>
  <c r="D15" i="34" s="1"/>
  <c r="A16" i="34"/>
  <c r="A57" i="34"/>
  <c r="B407" i="1"/>
  <c r="B38" i="38" l="1"/>
  <c r="A39" i="38"/>
  <c r="C38" i="38"/>
  <c r="D38" i="38" s="1"/>
  <c r="A97" i="28"/>
  <c r="B16" i="34"/>
  <c r="C16" i="34" s="1"/>
  <c r="D16" i="34" s="1"/>
  <c r="B57" i="34"/>
  <c r="C57" i="34" s="1"/>
  <c r="D57" i="34" s="1"/>
  <c r="A58" i="34"/>
  <c r="A17" i="34"/>
  <c r="G35" i="28"/>
  <c r="A40" i="28" s="1"/>
  <c r="B39" i="38" l="1"/>
  <c r="A40" i="38"/>
  <c r="C39" i="38"/>
  <c r="D39" i="38" s="1"/>
  <c r="A98" i="28"/>
  <c r="B58" i="34"/>
  <c r="C58" i="34" s="1"/>
  <c r="D58" i="34" s="1"/>
  <c r="B17" i="34"/>
  <c r="C17" i="34" s="1"/>
  <c r="D17" i="34" s="1"/>
  <c r="A18" i="34"/>
  <c r="A59" i="34"/>
  <c r="X23" i="11"/>
  <c r="B40" i="38" l="1"/>
  <c r="C40" i="38" s="1"/>
  <c r="D40" i="38" s="1"/>
  <c r="A41" i="38"/>
  <c r="A99" i="28"/>
  <c r="B59" i="34"/>
  <c r="C59" i="34" s="1"/>
  <c r="D59" i="34" s="1"/>
  <c r="B18" i="34"/>
  <c r="C18" i="34" s="1"/>
  <c r="D18" i="34" s="1"/>
  <c r="A60" i="34"/>
  <c r="A19" i="34"/>
  <c r="B41" i="38" l="1"/>
  <c r="A42" i="38"/>
  <c r="C41" i="38"/>
  <c r="D41" i="38" s="1"/>
  <c r="A100" i="28"/>
  <c r="B60" i="34"/>
  <c r="C60" i="34" s="1"/>
  <c r="D60" i="34" s="1"/>
  <c r="B19" i="34"/>
  <c r="C19" i="34" s="1"/>
  <c r="D19" i="34" s="1"/>
  <c r="A61" i="34"/>
  <c r="A20" i="34"/>
  <c r="B42" i="38" l="1"/>
  <c r="C42" i="38"/>
  <c r="D42" i="38" s="1"/>
  <c r="A43" i="38"/>
  <c r="B20" i="34"/>
  <c r="C20" i="34" s="1"/>
  <c r="D20" i="34" s="1"/>
  <c r="B61" i="34"/>
  <c r="A21" i="34"/>
  <c r="C61" i="34"/>
  <c r="D61" i="34" s="1"/>
  <c r="A62" i="34"/>
  <c r="B43" i="38" l="1"/>
  <c r="C43" i="38" s="1"/>
  <c r="D43" i="38" s="1"/>
  <c r="A44" i="38"/>
  <c r="B62" i="34"/>
  <c r="B21" i="34"/>
  <c r="C21" i="34" s="1"/>
  <c r="D21" i="34" s="1"/>
  <c r="A22" i="34"/>
  <c r="A63" i="34"/>
  <c r="C62" i="34"/>
  <c r="D62" i="34" s="1"/>
  <c r="B44" i="38" l="1"/>
  <c r="C44" i="38" s="1"/>
  <c r="D44" i="38" s="1"/>
  <c r="A45" i="38"/>
  <c r="B63" i="34"/>
  <c r="B22" i="34"/>
  <c r="C22" i="34" s="1"/>
  <c r="D22" i="34" s="1"/>
  <c r="A64" i="34"/>
  <c r="C63" i="34"/>
  <c r="D63" i="34" s="1"/>
  <c r="A23" i="34"/>
  <c r="X42" i="11"/>
  <c r="X40" i="11"/>
  <c r="X39" i="11"/>
  <c r="X38" i="11"/>
  <c r="X36" i="11"/>
  <c r="X35" i="11"/>
  <c r="X34" i="11"/>
  <c r="X32" i="11"/>
  <c r="X31" i="11"/>
  <c r="X11" i="11"/>
  <c r="X30" i="11" s="1"/>
  <c r="X10" i="11"/>
  <c r="X27" i="11" s="1"/>
  <c r="W20" i="11"/>
  <c r="W18" i="11"/>
  <c r="W14" i="11"/>
  <c r="K43" i="27"/>
  <c r="K44" i="27" s="1"/>
  <c r="K45" i="27" s="1"/>
  <c r="K46" i="27" s="1"/>
  <c r="K47" i="27" s="1"/>
  <c r="K48" i="27" s="1"/>
  <c r="K49" i="27" s="1"/>
  <c r="K50" i="27" s="1"/>
  <c r="K51" i="27" s="1"/>
  <c r="K52" i="27" s="1"/>
  <c r="K53" i="27" s="1"/>
  <c r="K54" i="27" s="1"/>
  <c r="K55" i="27" s="1"/>
  <c r="K56" i="27" s="1"/>
  <c r="K57" i="27" s="1"/>
  <c r="K58" i="27" s="1"/>
  <c r="D409" i="1"/>
  <c r="X44" i="11" l="1"/>
  <c r="B45" i="38"/>
  <c r="A46" i="38"/>
  <c r="C45" i="38"/>
  <c r="D45" i="38" s="1"/>
  <c r="B23" i="34"/>
  <c r="C23" i="34" s="1"/>
  <c r="D23" i="34" s="1"/>
  <c r="A65" i="34"/>
  <c r="A24" i="34"/>
  <c r="B64" i="34"/>
  <c r="C64" i="34" s="1"/>
  <c r="D64" i="34" s="1"/>
  <c r="B410" i="1"/>
  <c r="C410" i="1" s="1"/>
  <c r="A47" i="38" l="1"/>
  <c r="B46" i="38"/>
  <c r="C46" i="38" s="1"/>
  <c r="D46" i="38" s="1"/>
  <c r="B65" i="34"/>
  <c r="C65" i="34" s="1"/>
  <c r="D65" i="34" s="1"/>
  <c r="B24" i="34"/>
  <c r="A66" i="34"/>
  <c r="A25" i="34"/>
  <c r="C24" i="34"/>
  <c r="D24" i="34" s="1"/>
  <c r="B47" i="38" l="1"/>
  <c r="C47" i="38" s="1"/>
  <c r="D47" i="38" s="1"/>
  <c r="A48" i="38"/>
  <c r="X45" i="11"/>
  <c r="Y46" i="11"/>
  <c r="Y47" i="11" s="1"/>
  <c r="B25" i="34"/>
  <c r="C25" i="34" s="1"/>
  <c r="D25" i="34" s="1"/>
  <c r="A67" i="34"/>
  <c r="A26" i="34"/>
  <c r="B66" i="34"/>
  <c r="C66" i="34" s="1"/>
  <c r="D66" i="34" s="1"/>
  <c r="F40" i="28"/>
  <c r="F41" i="28" s="1"/>
  <c r="F42" i="28" s="1"/>
  <c r="F43" i="28" s="1"/>
  <c r="F44" i="28" s="1"/>
  <c r="F45" i="28" s="1"/>
  <c r="F46" i="28" s="1"/>
  <c r="F47" i="28" s="1"/>
  <c r="F48" i="28" s="1"/>
  <c r="F49" i="28" s="1"/>
  <c r="F50" i="28" s="1"/>
  <c r="F51" i="28" s="1"/>
  <c r="F52" i="28" s="1"/>
  <c r="F53" i="28" s="1"/>
  <c r="F54" i="28" s="1"/>
  <c r="F55" i="28" s="1"/>
  <c r="F56" i="28" s="1"/>
  <c r="F57" i="28" s="1"/>
  <c r="F58" i="28" s="1"/>
  <c r="F59" i="28" s="1"/>
  <c r="F60" i="28" s="1"/>
  <c r="F61" i="28" s="1"/>
  <c r="F62" i="28" s="1"/>
  <c r="F63" i="28" s="1"/>
  <c r="F64" i="28" s="1"/>
  <c r="F65" i="28" s="1"/>
  <c r="F66" i="28" s="1"/>
  <c r="F67" i="28" s="1"/>
  <c r="F68" i="28" s="1"/>
  <c r="F69" i="28" s="1"/>
  <c r="F70" i="28" s="1"/>
  <c r="F71" i="28" s="1"/>
  <c r="F72" i="28" s="1"/>
  <c r="F73" i="28" s="1"/>
  <c r="F74" i="28" s="1"/>
  <c r="F75" i="28" s="1"/>
  <c r="F76" i="28" s="1"/>
  <c r="E40" i="28"/>
  <c r="E41" i="28" s="1"/>
  <c r="E42" i="28" s="1"/>
  <c r="E43" i="28" s="1"/>
  <c r="E44" i="28" s="1"/>
  <c r="E45" i="28" s="1"/>
  <c r="E46" i="28" s="1"/>
  <c r="E47" i="28" s="1"/>
  <c r="E48" i="28" s="1"/>
  <c r="E49" i="28" s="1"/>
  <c r="E50" i="28" s="1"/>
  <c r="E51" i="28" s="1"/>
  <c r="E52" i="28" s="1"/>
  <c r="E53" i="28" s="1"/>
  <c r="E54" i="28" s="1"/>
  <c r="E55" i="28" s="1"/>
  <c r="E56" i="28" s="1"/>
  <c r="E57" i="28" s="1"/>
  <c r="E58" i="28" s="1"/>
  <c r="E59" i="28" s="1"/>
  <c r="E60" i="28" s="1"/>
  <c r="E61" i="28" s="1"/>
  <c r="E62" i="28" s="1"/>
  <c r="E63" i="28" s="1"/>
  <c r="E64" i="28" s="1"/>
  <c r="E65" i="28" s="1"/>
  <c r="E66" i="28" s="1"/>
  <c r="E67" i="28" s="1"/>
  <c r="E68" i="28" s="1"/>
  <c r="E69" i="28" s="1"/>
  <c r="E70" i="28" s="1"/>
  <c r="E71" i="28" s="1"/>
  <c r="E72" i="28" s="1"/>
  <c r="E73" i="28" s="1"/>
  <c r="E74" i="28" s="1"/>
  <c r="E75" i="28" s="1"/>
  <c r="E76" i="28" s="1"/>
  <c r="B40" i="28"/>
  <c r="B48" i="38" l="1"/>
  <c r="C48" i="38" s="1"/>
  <c r="D48" i="38" s="1"/>
  <c r="A49" i="38"/>
  <c r="B67" i="34"/>
  <c r="B26" i="34"/>
  <c r="C26" i="34" s="1"/>
  <c r="D26" i="34" s="1"/>
  <c r="A68" i="34"/>
  <c r="C67" i="34"/>
  <c r="D67" i="34" s="1"/>
  <c r="A27" i="34"/>
  <c r="C40" i="28"/>
  <c r="D40" i="28" s="1"/>
  <c r="A41" i="28"/>
  <c r="F39" i="26"/>
  <c r="F40" i="26" s="1"/>
  <c r="F41" i="26" s="1"/>
  <c r="F42" i="26" s="1"/>
  <c r="F43" i="26" s="1"/>
  <c r="F44" i="26" s="1"/>
  <c r="F45" i="26" s="1"/>
  <c r="F46" i="26" s="1"/>
  <c r="F47" i="26" s="1"/>
  <c r="F48" i="26" s="1"/>
  <c r="F49" i="26" s="1"/>
  <c r="F50" i="26" s="1"/>
  <c r="F51" i="26" s="1"/>
  <c r="F52" i="26" s="1"/>
  <c r="F53" i="26" s="1"/>
  <c r="F54" i="26" s="1"/>
  <c r="F55" i="26" s="1"/>
  <c r="F56" i="26" s="1"/>
  <c r="F57" i="26" s="1"/>
  <c r="F58" i="26" s="1"/>
  <c r="F59" i="26" s="1"/>
  <c r="F60" i="26" s="1"/>
  <c r="F61" i="26" s="1"/>
  <c r="F62" i="26" s="1"/>
  <c r="F63" i="26" s="1"/>
  <c r="F64" i="26" s="1"/>
  <c r="F65" i="26" s="1"/>
  <c r="F66" i="26" s="1"/>
  <c r="F67" i="26" s="1"/>
  <c r="F68" i="26" s="1"/>
  <c r="F69" i="26" s="1"/>
  <c r="F70" i="26" s="1"/>
  <c r="F71" i="26" s="1"/>
  <c r="F72" i="26" s="1"/>
  <c r="F73" i="26" s="1"/>
  <c r="F74" i="26" s="1"/>
  <c r="F75" i="26" s="1"/>
  <c r="F76" i="26" s="1"/>
  <c r="F77" i="26" s="1"/>
  <c r="F78" i="26" s="1"/>
  <c r="F79" i="26" s="1"/>
  <c r="F80" i="26" s="1"/>
  <c r="F81" i="26" s="1"/>
  <c r="F82" i="26" s="1"/>
  <c r="F83" i="26" s="1"/>
  <c r="F84" i="26" s="1"/>
  <c r="F85" i="26" s="1"/>
  <c r="F86" i="26" s="1"/>
  <c r="F87" i="26" s="1"/>
  <c r="F88" i="26" s="1"/>
  <c r="F89" i="26" s="1"/>
  <c r="F90" i="26" s="1"/>
  <c r="F91" i="26" s="1"/>
  <c r="F92" i="26" s="1"/>
  <c r="F93" i="26" s="1"/>
  <c r="F94" i="26" s="1"/>
  <c r="F95" i="26" s="1"/>
  <c r="F96" i="26" s="1"/>
  <c r="F97" i="26" s="1"/>
  <c r="F98" i="26" s="1"/>
  <c r="F99" i="26" s="1"/>
  <c r="F100" i="26" s="1"/>
  <c r="F101" i="26" s="1"/>
  <c r="F102" i="26" s="1"/>
  <c r="F103" i="26" s="1"/>
  <c r="F104" i="26" s="1"/>
  <c r="F105" i="26" s="1"/>
  <c r="F106" i="26" s="1"/>
  <c r="F107" i="26" s="1"/>
  <c r="F108" i="26" s="1"/>
  <c r="F109" i="26" s="1"/>
  <c r="F110" i="26" s="1"/>
  <c r="F111" i="26" s="1"/>
  <c r="F112" i="26" s="1"/>
  <c r="F113" i="26" s="1"/>
  <c r="F114" i="26" s="1"/>
  <c r="F115" i="26" s="1"/>
  <c r="F116" i="26" s="1"/>
  <c r="F117" i="26" s="1"/>
  <c r="F118" i="26" s="1"/>
  <c r="F119" i="26" s="1"/>
  <c r="F120" i="26" s="1"/>
  <c r="F121" i="26" s="1"/>
  <c r="F122" i="26" s="1"/>
  <c r="F123" i="26" s="1"/>
  <c r="F124" i="26" s="1"/>
  <c r="F125" i="26" s="1"/>
  <c r="F126" i="26" s="1"/>
  <c r="F127" i="26" s="1"/>
  <c r="F128" i="26" s="1"/>
  <c r="F129" i="26" s="1"/>
  <c r="F130" i="26" s="1"/>
  <c r="F131" i="26" s="1"/>
  <c r="F132" i="26" s="1"/>
  <c r="F133" i="26" s="1"/>
  <c r="F134" i="26" s="1"/>
  <c r="F135" i="26" s="1"/>
  <c r="F136" i="26" s="1"/>
  <c r="F137" i="26" s="1"/>
  <c r="F138" i="26" s="1"/>
  <c r="F139" i="26" s="1"/>
  <c r="F140" i="26" s="1"/>
  <c r="F141" i="26" s="1"/>
  <c r="F142" i="26" s="1"/>
  <c r="F143" i="26" s="1"/>
  <c r="F144" i="26" s="1"/>
  <c r="F145" i="26" s="1"/>
  <c r="F146" i="26" s="1"/>
  <c r="F147" i="26" s="1"/>
  <c r="F148" i="26" s="1"/>
  <c r="F149" i="26" s="1"/>
  <c r="F150" i="26" s="1"/>
  <c r="F151" i="26" s="1"/>
  <c r="F152" i="26" s="1"/>
  <c r="F153" i="26" s="1"/>
  <c r="F154" i="26" s="1"/>
  <c r="F155" i="26" s="1"/>
  <c r="F156" i="26" s="1"/>
  <c r="F157" i="26" s="1"/>
  <c r="E38" i="26"/>
  <c r="C48" i="27"/>
  <c r="C47" i="27"/>
  <c r="C46" i="27"/>
  <c r="C45" i="27"/>
  <c r="F44" i="27"/>
  <c r="F45" i="27" s="1"/>
  <c r="F46" i="27" s="1"/>
  <c r="F47" i="27" s="1"/>
  <c r="F48" i="27" s="1"/>
  <c r="F49" i="27" s="1"/>
  <c r="F50" i="27" s="1"/>
  <c r="F51" i="27" s="1"/>
  <c r="F52" i="27" s="1"/>
  <c r="F53" i="27" s="1"/>
  <c r="F54" i="27" s="1"/>
  <c r="F55" i="27" s="1"/>
  <c r="F56" i="27" s="1"/>
  <c r="F57" i="27" s="1"/>
  <c r="F58" i="27" s="1"/>
  <c r="F59" i="27" s="1"/>
  <c r="F60" i="27" s="1"/>
  <c r="F61" i="27" s="1"/>
  <c r="F62" i="27" s="1"/>
  <c r="F63" i="27" s="1"/>
  <c r="F64" i="27" s="1"/>
  <c r="F65" i="27" s="1"/>
  <c r="F66" i="27" s="1"/>
  <c r="F67" i="27" s="1"/>
  <c r="F68" i="27" s="1"/>
  <c r="F69" i="27" s="1"/>
  <c r="F70" i="27" s="1"/>
  <c r="F71" i="27" s="1"/>
  <c r="F72" i="27" s="1"/>
  <c r="F73" i="27" s="1"/>
  <c r="F74" i="27" s="1"/>
  <c r="F75" i="27" s="1"/>
  <c r="F76" i="27" s="1"/>
  <c r="F77" i="27" s="1"/>
  <c r="F78" i="27" s="1"/>
  <c r="F79" i="27" s="1"/>
  <c r="F80" i="27" s="1"/>
  <c r="F81" i="27" s="1"/>
  <c r="F82" i="27" s="1"/>
  <c r="F83" i="27" s="1"/>
  <c r="F84" i="27" s="1"/>
  <c r="F85" i="27" s="1"/>
  <c r="F86" i="27" s="1"/>
  <c r="F87" i="27" s="1"/>
  <c r="F88" i="27" s="1"/>
  <c r="F89" i="27" s="1"/>
  <c r="F90" i="27" s="1"/>
  <c r="F91" i="27" s="1"/>
  <c r="F92" i="27" s="1"/>
  <c r="F93" i="27" s="1"/>
  <c r="F94" i="27" s="1"/>
  <c r="F95" i="27" s="1"/>
  <c r="F96" i="27" s="1"/>
  <c r="F97" i="27" s="1"/>
  <c r="F98" i="27" s="1"/>
  <c r="F99" i="27" s="1"/>
  <c r="F100" i="27" s="1"/>
  <c r="F101" i="27" s="1"/>
  <c r="F102" i="27" s="1"/>
  <c r="F103" i="27" s="1"/>
  <c r="F104" i="27" s="1"/>
  <c r="F105" i="27" s="1"/>
  <c r="F106" i="27" s="1"/>
  <c r="F107" i="27" s="1"/>
  <c r="F108" i="27" s="1"/>
  <c r="F109" i="27" s="1"/>
  <c r="F110" i="27" s="1"/>
  <c r="F111" i="27" s="1"/>
  <c r="F112" i="27" s="1"/>
  <c r="F113" i="27" s="1"/>
  <c r="F114" i="27" s="1"/>
  <c r="F115" i="27" s="1"/>
  <c r="F116" i="27" s="1"/>
  <c r="F117" i="27" s="1"/>
  <c r="F118" i="27" s="1"/>
  <c r="F119" i="27" s="1"/>
  <c r="F120" i="27" s="1"/>
  <c r="F121" i="27" s="1"/>
  <c r="F122" i="27" s="1"/>
  <c r="F123" i="27" s="1"/>
  <c r="F124" i="27" s="1"/>
  <c r="F125" i="27" s="1"/>
  <c r="F126" i="27" s="1"/>
  <c r="F127" i="27" s="1"/>
  <c r="F128" i="27" s="1"/>
  <c r="C44" i="27"/>
  <c r="E43" i="27"/>
  <c r="E44" i="27" s="1"/>
  <c r="E45" i="27" s="1"/>
  <c r="E46" i="27" s="1"/>
  <c r="E47" i="27" s="1"/>
  <c r="E48" i="27" s="1"/>
  <c r="E49" i="27" s="1"/>
  <c r="E50" i="27" s="1"/>
  <c r="E51" i="27" s="1"/>
  <c r="E52" i="27" s="1"/>
  <c r="E53" i="27" s="1"/>
  <c r="E54" i="27" s="1"/>
  <c r="E55" i="27" s="1"/>
  <c r="E56" i="27" s="1"/>
  <c r="E57" i="27" s="1"/>
  <c r="E58" i="27" s="1"/>
  <c r="E59" i="27" s="1"/>
  <c r="E60" i="27" s="1"/>
  <c r="E61" i="27" s="1"/>
  <c r="E62" i="27" s="1"/>
  <c r="E63" i="27" s="1"/>
  <c r="E64" i="27" s="1"/>
  <c r="E65" i="27" s="1"/>
  <c r="E66" i="27" s="1"/>
  <c r="E67" i="27" s="1"/>
  <c r="E68" i="27" s="1"/>
  <c r="E69" i="27" s="1"/>
  <c r="E70" i="27" s="1"/>
  <c r="E71" i="27" s="1"/>
  <c r="E72" i="27" s="1"/>
  <c r="E73" i="27" s="1"/>
  <c r="E74" i="27" s="1"/>
  <c r="E75" i="27" s="1"/>
  <c r="E76" i="27" s="1"/>
  <c r="E77" i="27" s="1"/>
  <c r="E78" i="27" s="1"/>
  <c r="E79" i="27" s="1"/>
  <c r="E80" i="27" s="1"/>
  <c r="E81" i="27" s="1"/>
  <c r="E82" i="27" s="1"/>
  <c r="E83" i="27" s="1"/>
  <c r="E84" i="27" s="1"/>
  <c r="E85" i="27" s="1"/>
  <c r="E86" i="27" s="1"/>
  <c r="E87" i="27" s="1"/>
  <c r="E88" i="27" s="1"/>
  <c r="E89" i="27" s="1"/>
  <c r="E90" i="27" s="1"/>
  <c r="E91" i="27" s="1"/>
  <c r="E92" i="27" s="1"/>
  <c r="E93" i="27" s="1"/>
  <c r="E94" i="27" s="1"/>
  <c r="E95" i="27" s="1"/>
  <c r="E96" i="27" s="1"/>
  <c r="E97" i="27" s="1"/>
  <c r="E98" i="27" s="1"/>
  <c r="E99" i="27" s="1"/>
  <c r="E100" i="27" s="1"/>
  <c r="E101" i="27" s="1"/>
  <c r="E102" i="27" s="1"/>
  <c r="E103" i="27" s="1"/>
  <c r="E104" i="27" s="1"/>
  <c r="E105" i="27" s="1"/>
  <c r="E106" i="27" s="1"/>
  <c r="E107" i="27" s="1"/>
  <c r="E108" i="27" s="1"/>
  <c r="E109" i="27" s="1"/>
  <c r="E110" i="27" s="1"/>
  <c r="E111" i="27" s="1"/>
  <c r="E112" i="27" s="1"/>
  <c r="E113" i="27" s="1"/>
  <c r="E114" i="27" s="1"/>
  <c r="E115" i="27" s="1"/>
  <c r="E116" i="27" s="1"/>
  <c r="E117" i="27" s="1"/>
  <c r="E118" i="27" s="1"/>
  <c r="E119" i="27" s="1"/>
  <c r="E120" i="27" s="1"/>
  <c r="E121" i="27" s="1"/>
  <c r="E122" i="27" s="1"/>
  <c r="E123" i="27" s="1"/>
  <c r="E124" i="27" s="1"/>
  <c r="E125" i="27" s="1"/>
  <c r="E126" i="27" s="1"/>
  <c r="E127" i="27" s="1"/>
  <c r="E128" i="27" s="1"/>
  <c r="C43" i="27"/>
  <c r="D43" i="27" s="1"/>
  <c r="B49" i="38" l="1"/>
  <c r="C49" i="38" s="1"/>
  <c r="D49" i="38" s="1"/>
  <c r="A50" i="38"/>
  <c r="B27" i="34"/>
  <c r="C27" i="34" s="1"/>
  <c r="D27" i="34" s="1"/>
  <c r="B68" i="34"/>
  <c r="C68" i="34" s="1"/>
  <c r="D68" i="34" s="1"/>
  <c r="A69" i="34"/>
  <c r="A28" i="34"/>
  <c r="A42" i="28"/>
  <c r="B41" i="28"/>
  <c r="C41" i="28" s="1"/>
  <c r="D41" i="28" s="1"/>
  <c r="B38" i="26"/>
  <c r="C38" i="26" s="1"/>
  <c r="D38" i="26" s="1"/>
  <c r="E39" i="26"/>
  <c r="E40" i="26" s="1"/>
  <c r="E41" i="26" s="1"/>
  <c r="E42" i="26" s="1"/>
  <c r="E43" i="26" s="1"/>
  <c r="E44" i="26" s="1"/>
  <c r="E45" i="26" s="1"/>
  <c r="E46" i="26" s="1"/>
  <c r="E47" i="26" s="1"/>
  <c r="E48" i="26" s="1"/>
  <c r="E49" i="26" s="1"/>
  <c r="E50" i="26" s="1"/>
  <c r="E51" i="26" s="1"/>
  <c r="E52" i="26" s="1"/>
  <c r="E53" i="26" s="1"/>
  <c r="E54" i="26" s="1"/>
  <c r="E55" i="26" s="1"/>
  <c r="E56" i="26" s="1"/>
  <c r="E57" i="26" s="1"/>
  <c r="E58" i="26" s="1"/>
  <c r="E59" i="26" s="1"/>
  <c r="E60" i="26" s="1"/>
  <c r="E61" i="26" s="1"/>
  <c r="E62" i="26" s="1"/>
  <c r="E63" i="26" s="1"/>
  <c r="E64" i="26" s="1"/>
  <c r="E65" i="26" s="1"/>
  <c r="E66" i="26" s="1"/>
  <c r="E67" i="26" s="1"/>
  <c r="E68" i="26" s="1"/>
  <c r="E69" i="26" s="1"/>
  <c r="E70" i="26" s="1"/>
  <c r="E71" i="26" s="1"/>
  <c r="E72" i="26" s="1"/>
  <c r="E73" i="26" s="1"/>
  <c r="E74" i="26" s="1"/>
  <c r="E75" i="26" s="1"/>
  <c r="E76" i="26" s="1"/>
  <c r="E77" i="26" s="1"/>
  <c r="E78" i="26" s="1"/>
  <c r="E79" i="26" s="1"/>
  <c r="E80" i="26" s="1"/>
  <c r="E81" i="26" s="1"/>
  <c r="E82" i="26" s="1"/>
  <c r="E83" i="26" s="1"/>
  <c r="E84" i="26" s="1"/>
  <c r="E85" i="26" s="1"/>
  <c r="E86" i="26" s="1"/>
  <c r="E87" i="26" s="1"/>
  <c r="E88" i="26" s="1"/>
  <c r="E89" i="26" s="1"/>
  <c r="E90" i="26" s="1"/>
  <c r="E91" i="26" s="1"/>
  <c r="E92" i="26" s="1"/>
  <c r="E93" i="26" s="1"/>
  <c r="E94" i="26" s="1"/>
  <c r="E95" i="26" s="1"/>
  <c r="E96" i="26" s="1"/>
  <c r="E97" i="26" s="1"/>
  <c r="E98" i="26" s="1"/>
  <c r="E99" i="26" s="1"/>
  <c r="E100" i="26" s="1"/>
  <c r="E101" i="26" s="1"/>
  <c r="E102" i="26" s="1"/>
  <c r="E103" i="26" s="1"/>
  <c r="E104" i="26" s="1"/>
  <c r="E105" i="26" s="1"/>
  <c r="E106" i="26" s="1"/>
  <c r="E107" i="26" s="1"/>
  <c r="E108" i="26" s="1"/>
  <c r="E109" i="26" s="1"/>
  <c r="E110" i="26" s="1"/>
  <c r="E111" i="26" s="1"/>
  <c r="E112" i="26" s="1"/>
  <c r="E113" i="26" s="1"/>
  <c r="E114" i="26" s="1"/>
  <c r="E115" i="26" s="1"/>
  <c r="E116" i="26" s="1"/>
  <c r="E117" i="26" s="1"/>
  <c r="E118" i="26" s="1"/>
  <c r="E119" i="26" s="1"/>
  <c r="E120" i="26" s="1"/>
  <c r="E121" i="26" s="1"/>
  <c r="E122" i="26" s="1"/>
  <c r="E123" i="26" s="1"/>
  <c r="E124" i="26" s="1"/>
  <c r="E125" i="26" s="1"/>
  <c r="E126" i="26" s="1"/>
  <c r="E127" i="26" s="1"/>
  <c r="E128" i="26" s="1"/>
  <c r="E129" i="26" s="1"/>
  <c r="E130" i="26" s="1"/>
  <c r="E131" i="26" s="1"/>
  <c r="E132" i="26" s="1"/>
  <c r="E133" i="26" s="1"/>
  <c r="E134" i="26" s="1"/>
  <c r="E135" i="26" s="1"/>
  <c r="E136" i="26" s="1"/>
  <c r="E137" i="26" s="1"/>
  <c r="E138" i="26" s="1"/>
  <c r="E139" i="26" s="1"/>
  <c r="E140" i="26" s="1"/>
  <c r="E141" i="26" s="1"/>
  <c r="E142" i="26" s="1"/>
  <c r="E143" i="26" s="1"/>
  <c r="E144" i="26" s="1"/>
  <c r="E145" i="26" s="1"/>
  <c r="E146" i="26" s="1"/>
  <c r="E147" i="26" s="1"/>
  <c r="E148" i="26" s="1"/>
  <c r="E149" i="26" s="1"/>
  <c r="E150" i="26" s="1"/>
  <c r="E151" i="26" s="1"/>
  <c r="E152" i="26" s="1"/>
  <c r="E153" i="26" s="1"/>
  <c r="E154" i="26" s="1"/>
  <c r="E155" i="26" s="1"/>
  <c r="E156" i="26" s="1"/>
  <c r="E157" i="26" s="1"/>
  <c r="D44" i="27"/>
  <c r="D45" i="27" s="1"/>
  <c r="D46" i="27" s="1"/>
  <c r="D47" i="27" s="1"/>
  <c r="D48" i="27" s="1"/>
  <c r="B50" i="38" l="1"/>
  <c r="C50" i="38"/>
  <c r="D50" i="38" s="1"/>
  <c r="A51" i="38"/>
  <c r="B28" i="34"/>
  <c r="C28" i="34" s="1"/>
  <c r="D28" i="34" s="1"/>
  <c r="B69" i="34"/>
  <c r="C69" i="34" s="1"/>
  <c r="D69" i="34" s="1"/>
  <c r="A70" i="34"/>
  <c r="A29" i="34"/>
  <c r="B42" i="28"/>
  <c r="C42" i="28" s="1"/>
  <c r="D42" i="28" s="1"/>
  <c r="A43" i="28"/>
  <c r="B39" i="26"/>
  <c r="C39" i="26" s="1"/>
  <c r="D39" i="26" s="1"/>
  <c r="B49" i="27"/>
  <c r="C49" i="27" s="1"/>
  <c r="D49" i="27" s="1"/>
  <c r="B51" i="38" l="1"/>
  <c r="A52" i="38"/>
  <c r="C51" i="38"/>
  <c r="D51" i="38" s="1"/>
  <c r="B29" i="34"/>
  <c r="C29" i="34" s="1"/>
  <c r="D29" i="34" s="1"/>
  <c r="B70" i="34"/>
  <c r="A30" i="34"/>
  <c r="A71" i="34"/>
  <c r="C70" i="34"/>
  <c r="D70" i="34" s="1"/>
  <c r="A44" i="28"/>
  <c r="B43" i="28"/>
  <c r="C43" i="28" s="1"/>
  <c r="D43" i="28" s="1"/>
  <c r="B40" i="26"/>
  <c r="C40" i="26" s="1"/>
  <c r="D40" i="26"/>
  <c r="B50" i="27"/>
  <c r="C50" i="27" s="1"/>
  <c r="D50" i="27" s="1"/>
  <c r="B52" i="38" l="1"/>
  <c r="C52" i="38"/>
  <c r="D52" i="38" s="1"/>
  <c r="A53" i="38"/>
  <c r="B71" i="34"/>
  <c r="C71" i="34" s="1"/>
  <c r="D71" i="34" s="1"/>
  <c r="B30" i="34"/>
  <c r="C30" i="34" s="1"/>
  <c r="D30" i="34" s="1"/>
  <c r="A72" i="34"/>
  <c r="A31" i="34"/>
  <c r="B44" i="28"/>
  <c r="C44" i="28" s="1"/>
  <c r="D44" i="28" s="1"/>
  <c r="A45" i="28"/>
  <c r="B41" i="26"/>
  <c r="C41" i="26" s="1"/>
  <c r="D41" i="26" s="1"/>
  <c r="B51" i="27"/>
  <c r="C51" i="27" s="1"/>
  <c r="D51" i="27" s="1"/>
  <c r="B53" i="38" l="1"/>
  <c r="C53" i="38" s="1"/>
  <c r="D53" i="38" s="1"/>
  <c r="A54" i="38"/>
  <c r="B72" i="34"/>
  <c r="C72" i="34" s="1"/>
  <c r="D72" i="34" s="1"/>
  <c r="B31" i="34"/>
  <c r="A32" i="34"/>
  <c r="C31" i="34"/>
  <c r="D31" i="34" s="1"/>
  <c r="A73" i="34"/>
  <c r="B45" i="28"/>
  <c r="C45" i="28" s="1"/>
  <c r="D45" i="28" s="1"/>
  <c r="A46" i="28"/>
  <c r="B42" i="26"/>
  <c r="C42" i="26" s="1"/>
  <c r="D42" i="26" s="1"/>
  <c r="B52" i="27"/>
  <c r="C52" i="27" s="1"/>
  <c r="D52" i="27" s="1"/>
  <c r="B54" i="38" l="1"/>
  <c r="A55" i="38"/>
  <c r="C54" i="38"/>
  <c r="D54" i="38" s="1"/>
  <c r="B32" i="34"/>
  <c r="B73" i="34"/>
  <c r="C73" i="34" s="1"/>
  <c r="D73" i="34" s="1"/>
  <c r="A74" i="34"/>
  <c r="A33" i="34"/>
  <c r="C32" i="34"/>
  <c r="D32" i="34" s="1"/>
  <c r="B46" i="28"/>
  <c r="C46" i="28" s="1"/>
  <c r="D46" i="28" s="1"/>
  <c r="A47" i="28"/>
  <c r="B43" i="26"/>
  <c r="C43" i="26" s="1"/>
  <c r="D43" i="26" s="1"/>
  <c r="B53" i="27"/>
  <c r="C53" i="27" s="1"/>
  <c r="D53" i="27" s="1"/>
  <c r="B55" i="38" l="1"/>
  <c r="A56" i="38"/>
  <c r="C55" i="38"/>
  <c r="D55" i="38" s="1"/>
  <c r="B33" i="34"/>
  <c r="B74" i="34"/>
  <c r="C74" i="34" s="1"/>
  <c r="D74" i="34" s="1"/>
  <c r="A75" i="34"/>
  <c r="C33" i="34"/>
  <c r="D33" i="34" s="1"/>
  <c r="A34" i="34"/>
  <c r="B47" i="28"/>
  <c r="C47" i="28" s="1"/>
  <c r="D47" i="28" s="1"/>
  <c r="A48" i="28"/>
  <c r="D44" i="26"/>
  <c r="B44" i="26"/>
  <c r="C44" i="26" s="1"/>
  <c r="B54" i="27"/>
  <c r="C54" i="27" s="1"/>
  <c r="D54" i="27" s="1"/>
  <c r="B56" i="38" l="1"/>
  <c r="C56" i="38" s="1"/>
  <c r="D56" i="38" s="1"/>
  <c r="A57" i="38"/>
  <c r="B34" i="34"/>
  <c r="C34" i="34" s="1"/>
  <c r="D34" i="34" s="1"/>
  <c r="B75" i="34"/>
  <c r="C75" i="34" s="1"/>
  <c r="D75" i="34" s="1"/>
  <c r="A35" i="34"/>
  <c r="A76" i="34"/>
  <c r="B48" i="28"/>
  <c r="C48" i="28" s="1"/>
  <c r="D48" i="28" s="1"/>
  <c r="A49" i="28"/>
  <c r="B45" i="26"/>
  <c r="C45" i="26" s="1"/>
  <c r="D45" i="26" s="1"/>
  <c r="B55" i="27"/>
  <c r="C55" i="27" s="1"/>
  <c r="D55" i="27" s="1"/>
  <c r="B57" i="38" l="1"/>
  <c r="C57" i="38" s="1"/>
  <c r="D57" i="38" s="1"/>
  <c r="A58" i="38"/>
  <c r="B76" i="34"/>
  <c r="B35" i="34"/>
  <c r="C35" i="34" s="1"/>
  <c r="D35" i="34" s="1"/>
  <c r="C76" i="34"/>
  <c r="D76" i="34" s="1"/>
  <c r="A77" i="34"/>
  <c r="A36" i="34"/>
  <c r="B49" i="28"/>
  <c r="C49" i="28" s="1"/>
  <c r="D49" i="28" s="1"/>
  <c r="A50" i="28"/>
  <c r="B46" i="26"/>
  <c r="C46" i="26" s="1"/>
  <c r="D46" i="26" s="1"/>
  <c r="B56" i="27"/>
  <c r="C56" i="27" s="1"/>
  <c r="D56" i="27" s="1"/>
  <c r="B58" i="38" l="1"/>
  <c r="C58" i="38" s="1"/>
  <c r="D58" i="38" s="1"/>
  <c r="A59" i="38"/>
  <c r="B36" i="34"/>
  <c r="C36" i="34" s="1"/>
  <c r="D36" i="34" s="1"/>
  <c r="B77" i="34"/>
  <c r="C77" i="34" s="1"/>
  <c r="D77" i="34" s="1"/>
  <c r="A37" i="34"/>
  <c r="A78" i="34"/>
  <c r="B50" i="28"/>
  <c r="C50" i="28" s="1"/>
  <c r="D50" i="28" s="1"/>
  <c r="A51" i="28"/>
  <c r="B47" i="26"/>
  <c r="C47" i="26" s="1"/>
  <c r="D47" i="26" s="1"/>
  <c r="B57" i="27"/>
  <c r="C57" i="27" s="1"/>
  <c r="D57" i="27" s="1"/>
  <c r="B59" i="38" l="1"/>
  <c r="C59" i="38" s="1"/>
  <c r="D59" i="38" s="1"/>
  <c r="A60" i="38"/>
  <c r="B78" i="34"/>
  <c r="B37" i="34"/>
  <c r="A79" i="34"/>
  <c r="C78" i="34"/>
  <c r="D78" i="34" s="1"/>
  <c r="C37" i="34"/>
  <c r="D37" i="34" s="1"/>
  <c r="A38" i="34"/>
  <c r="B51" i="28"/>
  <c r="C51" i="28" s="1"/>
  <c r="D51" i="28" s="1"/>
  <c r="A52" i="28"/>
  <c r="B48" i="26"/>
  <c r="C48" i="26" s="1"/>
  <c r="D48" i="26" s="1"/>
  <c r="B58" i="27"/>
  <c r="C58" i="27" s="1"/>
  <c r="D58" i="27" s="1"/>
  <c r="B60" i="38" l="1"/>
  <c r="C60" i="38"/>
  <c r="D60" i="38" s="1"/>
  <c r="A61" i="38"/>
  <c r="B38" i="34"/>
  <c r="B79" i="34"/>
  <c r="A80" i="34"/>
  <c r="C79" i="34"/>
  <c r="D79" i="34" s="1"/>
  <c r="C38" i="34"/>
  <c r="D38" i="34" s="1"/>
  <c r="A39" i="34"/>
  <c r="B52" i="28"/>
  <c r="C52" i="28" s="1"/>
  <c r="D52" i="28" s="1"/>
  <c r="A53" i="28"/>
  <c r="B49" i="26"/>
  <c r="C49" i="26" s="1"/>
  <c r="D49" i="26" s="1"/>
  <c r="B59" i="27"/>
  <c r="C59" i="27" s="1"/>
  <c r="D59" i="27" s="1"/>
  <c r="B61" i="38" l="1"/>
  <c r="C61" i="38" s="1"/>
  <c r="D61" i="38" s="1"/>
  <c r="A62" i="38"/>
  <c r="B39" i="34"/>
  <c r="C39" i="34" s="1"/>
  <c r="D39" i="34" s="1"/>
  <c r="B80" i="34"/>
  <c r="C80" i="34"/>
  <c r="D80" i="34" s="1"/>
  <c r="A81" i="34"/>
  <c r="A40" i="34"/>
  <c r="B53" i="28"/>
  <c r="C53" i="28" s="1"/>
  <c r="D53" i="28" s="1"/>
  <c r="A54" i="28"/>
  <c r="B50" i="26"/>
  <c r="C50" i="26" s="1"/>
  <c r="D50" i="26" s="1"/>
  <c r="B60" i="27"/>
  <c r="C60" i="27" s="1"/>
  <c r="D60" i="27" s="1"/>
  <c r="B62" i="38" l="1"/>
  <c r="C62" i="38"/>
  <c r="D62" i="38" s="1"/>
  <c r="A63" i="38"/>
  <c r="B40" i="34"/>
  <c r="C40" i="34" s="1"/>
  <c r="D40" i="34" s="1"/>
  <c r="B81" i="34"/>
  <c r="A41" i="34"/>
  <c r="C81" i="34"/>
  <c r="D81" i="34" s="1"/>
  <c r="A82" i="34"/>
  <c r="B54" i="28"/>
  <c r="C54" i="28" s="1"/>
  <c r="D54" i="28" s="1"/>
  <c r="A55" i="28"/>
  <c r="B51" i="26"/>
  <c r="C51" i="26" s="1"/>
  <c r="D51" i="26" s="1"/>
  <c r="B61" i="27"/>
  <c r="C61" i="27" s="1"/>
  <c r="D61" i="27" s="1"/>
  <c r="B63" i="38" l="1"/>
  <c r="C63" i="38" s="1"/>
  <c r="D63" i="38" s="1"/>
  <c r="A64" i="38"/>
  <c r="B82" i="34"/>
  <c r="C82" i="34" s="1"/>
  <c r="D82" i="34" s="1"/>
  <c r="B41" i="34"/>
  <c r="C41" i="34" s="1"/>
  <c r="D41" i="34" s="1"/>
  <c r="A42" i="34"/>
  <c r="A83" i="34"/>
  <c r="B55" i="28"/>
  <c r="C55" i="28" s="1"/>
  <c r="D55" i="28" s="1"/>
  <c r="A56" i="28"/>
  <c r="B52" i="26"/>
  <c r="C52" i="26" s="1"/>
  <c r="D52" i="26" s="1"/>
  <c r="B62" i="27"/>
  <c r="C62" i="27" s="1"/>
  <c r="D62" i="27" s="1"/>
  <c r="B64" i="38" l="1"/>
  <c r="C64" i="38"/>
  <c r="D64" i="38" s="1"/>
  <c r="A65" i="38"/>
  <c r="B83" i="34"/>
  <c r="B42" i="34"/>
  <c r="A84" i="34"/>
  <c r="C83" i="34"/>
  <c r="D83" i="34" s="1"/>
  <c r="C42" i="34"/>
  <c r="D42" i="34" s="1"/>
  <c r="A43" i="34"/>
  <c r="B56" i="28"/>
  <c r="C56" i="28" s="1"/>
  <c r="D56" i="28" s="1"/>
  <c r="A57" i="28"/>
  <c r="B53" i="26"/>
  <c r="C53" i="26" s="1"/>
  <c r="D53" i="26" s="1"/>
  <c r="B63" i="27"/>
  <c r="C63" i="27" s="1"/>
  <c r="D63" i="27" s="1"/>
  <c r="B65" i="38" l="1"/>
  <c r="C65" i="38" s="1"/>
  <c r="D65" i="38" s="1"/>
  <c r="A66" i="38"/>
  <c r="B43" i="34"/>
  <c r="C43" i="34" s="1"/>
  <c r="D43" i="34" s="1"/>
  <c r="B84" i="34"/>
  <c r="A45" i="34"/>
  <c r="C84" i="34"/>
  <c r="D84" i="34" s="1"/>
  <c r="A85" i="34"/>
  <c r="B57" i="28"/>
  <c r="C57" i="28" s="1"/>
  <c r="D57" i="28" s="1"/>
  <c r="A58" i="28"/>
  <c r="B54" i="26"/>
  <c r="C54" i="26" s="1"/>
  <c r="D54" i="26" s="1"/>
  <c r="B64" i="27"/>
  <c r="C64" i="27" s="1"/>
  <c r="D64" i="27" s="1"/>
  <c r="B66" i="38" l="1"/>
  <c r="A67" i="38"/>
  <c r="C66" i="38"/>
  <c r="D66" i="38" s="1"/>
  <c r="B85" i="34"/>
  <c r="C85" i="34"/>
  <c r="D85" i="34" s="1"/>
  <c r="A86" i="34"/>
  <c r="B58" i="28"/>
  <c r="C58" i="28" s="1"/>
  <c r="D58" i="28" s="1"/>
  <c r="A59" i="28"/>
  <c r="B55" i="26"/>
  <c r="C55" i="26" s="1"/>
  <c r="D55" i="26"/>
  <c r="B65" i="27"/>
  <c r="C65" i="27" s="1"/>
  <c r="D65" i="27" s="1"/>
  <c r="B67" i="38" l="1"/>
  <c r="C67" i="38" s="1"/>
  <c r="D67" i="38" s="1"/>
  <c r="A68" i="38"/>
  <c r="A87" i="34"/>
  <c r="B86" i="34"/>
  <c r="C86" i="34" s="1"/>
  <c r="D86" i="34" s="1"/>
  <c r="B59" i="28"/>
  <c r="C59" i="28" s="1"/>
  <c r="D59" i="28" s="1"/>
  <c r="A60" i="28"/>
  <c r="B56" i="26"/>
  <c r="C56" i="26" s="1"/>
  <c r="D56" i="26" s="1"/>
  <c r="B66" i="27"/>
  <c r="C66" i="27" s="1"/>
  <c r="D66" i="27" s="1"/>
  <c r="B68" i="38" l="1"/>
  <c r="C68" i="38"/>
  <c r="D68" i="38" s="1"/>
  <c r="A69" i="38"/>
  <c r="B87" i="34"/>
  <c r="A88" i="34"/>
  <c r="C87" i="34"/>
  <c r="D87" i="34" s="1"/>
  <c r="B60" i="28"/>
  <c r="A61" i="28"/>
  <c r="C60" i="28"/>
  <c r="D60" i="28" s="1"/>
  <c r="B57" i="26"/>
  <c r="C57" i="26" s="1"/>
  <c r="D57" i="26" s="1"/>
  <c r="B67" i="27"/>
  <c r="C67" i="27" s="1"/>
  <c r="D67" i="27" s="1"/>
  <c r="B69" i="38" l="1"/>
  <c r="A70" i="38"/>
  <c r="C69" i="38"/>
  <c r="D69" i="38" s="1"/>
  <c r="B88" i="34"/>
  <c r="C88" i="34" s="1"/>
  <c r="D88" i="34" s="1"/>
  <c r="A89" i="34"/>
  <c r="B61" i="28"/>
  <c r="C61" i="28" s="1"/>
  <c r="D61" i="28" s="1"/>
  <c r="A62" i="28"/>
  <c r="B58" i="26"/>
  <c r="C58" i="26" s="1"/>
  <c r="D58" i="26"/>
  <c r="B68" i="27"/>
  <c r="C68" i="27" s="1"/>
  <c r="D68" i="27" s="1"/>
  <c r="B70" i="38" l="1"/>
  <c r="A71" i="38"/>
  <c r="C70" i="38"/>
  <c r="D70" i="38" s="1"/>
  <c r="B89" i="34"/>
  <c r="C89" i="34" s="1"/>
  <c r="D89" i="34" s="1"/>
  <c r="A90" i="34"/>
  <c r="B62" i="28"/>
  <c r="A63" i="28"/>
  <c r="C62" i="28"/>
  <c r="D62" i="28" s="1"/>
  <c r="B59" i="26"/>
  <c r="C59" i="26" s="1"/>
  <c r="D59" i="26" s="1"/>
  <c r="B69" i="27"/>
  <c r="C69" i="27" s="1"/>
  <c r="D69" i="27" s="1"/>
  <c r="B71" i="38" l="1"/>
  <c r="C71" i="38" s="1"/>
  <c r="D71" i="38" s="1"/>
  <c r="A72" i="38"/>
  <c r="B90" i="34"/>
  <c r="C90" i="34" s="1"/>
  <c r="D90" i="34" s="1"/>
  <c r="A91" i="34"/>
  <c r="B63" i="28"/>
  <c r="C63" i="28" s="1"/>
  <c r="D63" i="28" s="1"/>
  <c r="A64" i="28"/>
  <c r="B60" i="26"/>
  <c r="C60" i="26" s="1"/>
  <c r="D60" i="26" s="1"/>
  <c r="B70" i="27"/>
  <c r="C70" i="27" s="1"/>
  <c r="D70" i="27" s="1"/>
  <c r="B72" i="38" l="1"/>
  <c r="C72" i="38" s="1"/>
  <c r="D72" i="38" s="1"/>
  <c r="A73" i="38"/>
  <c r="B91" i="34"/>
  <c r="C91" i="34" s="1"/>
  <c r="D91" i="34" s="1"/>
  <c r="A92" i="34"/>
  <c r="B64" i="28"/>
  <c r="C64" i="28" s="1"/>
  <c r="D64" i="28" s="1"/>
  <c r="A65" i="28"/>
  <c r="B61" i="26"/>
  <c r="C61" i="26" s="1"/>
  <c r="D61" i="26"/>
  <c r="B71" i="27"/>
  <c r="C71" i="27" s="1"/>
  <c r="D71" i="27" s="1"/>
  <c r="B73" i="38" l="1"/>
  <c r="C73" i="38" s="1"/>
  <c r="D73" i="38" s="1"/>
  <c r="A74" i="38"/>
  <c r="B92" i="34"/>
  <c r="C92" i="34"/>
  <c r="D92" i="34" s="1"/>
  <c r="A93" i="34"/>
  <c r="B65" i="28"/>
  <c r="A66" i="28"/>
  <c r="C65" i="28"/>
  <c r="D65" i="28" s="1"/>
  <c r="B62" i="26"/>
  <c r="C62" i="26" s="1"/>
  <c r="D62" i="26" s="1"/>
  <c r="B72" i="27"/>
  <c r="C72" i="27" s="1"/>
  <c r="D72" i="27" s="1"/>
  <c r="B74" i="38" l="1"/>
  <c r="A75" i="38"/>
  <c r="C74" i="38"/>
  <c r="D74" i="38" s="1"/>
  <c r="B93" i="34"/>
  <c r="C93" i="34"/>
  <c r="D93" i="34" s="1"/>
  <c r="A94" i="34"/>
  <c r="B66" i="28"/>
  <c r="C66" i="28" s="1"/>
  <c r="D66" i="28" s="1"/>
  <c r="A67" i="28"/>
  <c r="D63" i="26"/>
  <c r="B63" i="26"/>
  <c r="C63" i="26" s="1"/>
  <c r="B73" i="27"/>
  <c r="C73" i="27" s="1"/>
  <c r="D73" i="27" s="1"/>
  <c r="B75" i="38" l="1"/>
  <c r="C75" i="38" s="1"/>
  <c r="D75" i="38" s="1"/>
  <c r="A76" i="38"/>
  <c r="B94" i="34"/>
  <c r="C94" i="34" s="1"/>
  <c r="D94" i="34" s="1"/>
  <c r="A95" i="34"/>
  <c r="B67" i="28"/>
  <c r="C67" i="28" s="1"/>
  <c r="D67" i="28" s="1"/>
  <c r="A68" i="28"/>
  <c r="B64" i="26"/>
  <c r="C64" i="26" s="1"/>
  <c r="D64" i="26" s="1"/>
  <c r="B74" i="27"/>
  <c r="C74" i="27" s="1"/>
  <c r="D74" i="27"/>
  <c r="B76" i="38" l="1"/>
  <c r="A77" i="38"/>
  <c r="C76" i="38"/>
  <c r="D76" i="38" s="1"/>
  <c r="B95" i="34"/>
  <c r="A96" i="34"/>
  <c r="C95" i="34"/>
  <c r="D95" i="34" s="1"/>
  <c r="B68" i="28"/>
  <c r="C68" i="28" s="1"/>
  <c r="D68" i="28" s="1"/>
  <c r="A69" i="28"/>
  <c r="B65" i="26"/>
  <c r="C65" i="26" s="1"/>
  <c r="D65" i="26" s="1"/>
  <c r="B75" i="27"/>
  <c r="C75" i="27" s="1"/>
  <c r="D75" i="27" s="1"/>
  <c r="B77" i="38" l="1"/>
  <c r="A78" i="38"/>
  <c r="C77" i="38"/>
  <c r="D77" i="38" s="1"/>
  <c r="B96" i="34"/>
  <c r="C96" i="34"/>
  <c r="D96" i="34" s="1"/>
  <c r="A97" i="34"/>
  <c r="A70" i="28"/>
  <c r="B69" i="28"/>
  <c r="C69" i="28" s="1"/>
  <c r="D69" i="28" s="1"/>
  <c r="B66" i="26"/>
  <c r="C66" i="26" s="1"/>
  <c r="D66" i="26" s="1"/>
  <c r="B76" i="27"/>
  <c r="C76" i="27" s="1"/>
  <c r="D76" i="27" s="1"/>
  <c r="B78" i="38" l="1"/>
  <c r="A79" i="38"/>
  <c r="C78" i="38"/>
  <c r="D78" i="38" s="1"/>
  <c r="B97" i="34"/>
  <c r="C97" i="34" s="1"/>
  <c r="D97" i="34" s="1"/>
  <c r="A98" i="34"/>
  <c r="B70" i="28"/>
  <c r="A71" i="28"/>
  <c r="C70" i="28"/>
  <c r="D70" i="28" s="1"/>
  <c r="B67" i="26"/>
  <c r="C67" i="26" s="1"/>
  <c r="D67" i="26" s="1"/>
  <c r="B77" i="27"/>
  <c r="C77" i="27" s="1"/>
  <c r="D77" i="27" s="1"/>
  <c r="B79" i="38" l="1"/>
  <c r="A80" i="38"/>
  <c r="C79" i="38"/>
  <c r="D79" i="38" s="1"/>
  <c r="B98" i="34"/>
  <c r="A99" i="34"/>
  <c r="C98" i="34"/>
  <c r="D98" i="34" s="1"/>
  <c r="B71" i="28"/>
  <c r="C71" i="28" s="1"/>
  <c r="D71" i="28" s="1"/>
  <c r="A72" i="28"/>
  <c r="B68" i="26"/>
  <c r="C68" i="26" s="1"/>
  <c r="D68" i="26" s="1"/>
  <c r="B78" i="27"/>
  <c r="C78" i="27" s="1"/>
  <c r="D78" i="27" s="1"/>
  <c r="B80" i="38" l="1"/>
  <c r="A81" i="38"/>
  <c r="C80" i="38"/>
  <c r="D80" i="38" s="1"/>
  <c r="B99" i="34"/>
  <c r="A100" i="34"/>
  <c r="C99" i="34"/>
  <c r="D99" i="34" s="1"/>
  <c r="B72" i="28"/>
  <c r="C72" i="28" s="1"/>
  <c r="D72" i="28" s="1"/>
  <c r="A73" i="28"/>
  <c r="B69" i="26"/>
  <c r="C69" i="26" s="1"/>
  <c r="D69" i="26" s="1"/>
  <c r="B79" i="27"/>
  <c r="C79" i="27" s="1"/>
  <c r="D79" i="27" s="1"/>
  <c r="B81" i="38" l="1"/>
  <c r="C81" i="38" s="1"/>
  <c r="D81" i="38" s="1"/>
  <c r="A82" i="38"/>
  <c r="B100" i="34"/>
  <c r="C100" i="34" s="1"/>
  <c r="D100" i="34" s="1"/>
  <c r="A101" i="34"/>
  <c r="B73" i="28"/>
  <c r="C73" i="28" s="1"/>
  <c r="D73" i="28" s="1"/>
  <c r="A74" i="28"/>
  <c r="B70" i="26"/>
  <c r="C70" i="26" s="1"/>
  <c r="D70" i="26" s="1"/>
  <c r="B80" i="27"/>
  <c r="C80" i="27" s="1"/>
  <c r="D80" i="27" s="1"/>
  <c r="B82" i="38" l="1"/>
  <c r="A83" i="38"/>
  <c r="C82" i="38"/>
  <c r="D82" i="38" s="1"/>
  <c r="B101" i="34"/>
  <c r="C101" i="34"/>
  <c r="D101" i="34" s="1"/>
  <c r="A102" i="34"/>
  <c r="B74" i="28"/>
  <c r="C74" i="28" s="1"/>
  <c r="D74" i="28" s="1"/>
  <c r="A75" i="28"/>
  <c r="B71" i="26"/>
  <c r="C71" i="26" s="1"/>
  <c r="D71" i="26" s="1"/>
  <c r="B81" i="27"/>
  <c r="C81" i="27" s="1"/>
  <c r="D81" i="27" s="1"/>
  <c r="B83" i="38" l="1"/>
  <c r="A84" i="38"/>
  <c r="C83" i="38"/>
  <c r="D83" i="38" s="1"/>
  <c r="B102" i="34"/>
  <c r="A103" i="34"/>
  <c r="C102" i="34"/>
  <c r="D102" i="34" s="1"/>
  <c r="B75" i="28"/>
  <c r="C75" i="28" s="1"/>
  <c r="D75" i="28" s="1"/>
  <c r="A76" i="28"/>
  <c r="B72" i="26"/>
  <c r="C72" i="26" s="1"/>
  <c r="D72" i="26" s="1"/>
  <c r="B82" i="27"/>
  <c r="C82" i="27" s="1"/>
  <c r="D82" i="27" s="1"/>
  <c r="B84" i="38" l="1"/>
  <c r="A85" i="38"/>
  <c r="C84" i="38"/>
  <c r="D84" i="38" s="1"/>
  <c r="B103" i="34"/>
  <c r="C103" i="34" s="1"/>
  <c r="D103" i="34" s="1"/>
  <c r="A104" i="34"/>
  <c r="B76" i="28"/>
  <c r="C76" i="28" s="1"/>
  <c r="D76" i="28" s="1"/>
  <c r="B73" i="26"/>
  <c r="C73" i="26" s="1"/>
  <c r="D73" i="26" s="1"/>
  <c r="B83" i="27"/>
  <c r="C83" i="27" s="1"/>
  <c r="D83" i="27" s="1"/>
  <c r="B85" i="38" l="1"/>
  <c r="C85" i="38" s="1"/>
  <c r="D85" i="38" s="1"/>
  <c r="A86" i="38"/>
  <c r="B77" i="28"/>
  <c r="C77" i="28" s="1"/>
  <c r="D77" i="28" s="1"/>
  <c r="B104" i="34"/>
  <c r="C104" i="34"/>
  <c r="D104" i="34" s="1"/>
  <c r="A105" i="34"/>
  <c r="B74" i="26"/>
  <c r="C74" i="26" s="1"/>
  <c r="D74" i="26" s="1"/>
  <c r="B84" i="27"/>
  <c r="C84" i="27" s="1"/>
  <c r="D84" i="27" s="1"/>
  <c r="B86" i="38" l="1"/>
  <c r="A87" i="38"/>
  <c r="C86" i="38"/>
  <c r="D86" i="38" s="1"/>
  <c r="B78" i="28"/>
  <c r="C78" i="28" s="1"/>
  <c r="D78" i="28" s="1"/>
  <c r="B105" i="34"/>
  <c r="C105" i="34"/>
  <c r="D105" i="34" s="1"/>
  <c r="A106" i="34"/>
  <c r="B75" i="26"/>
  <c r="C75" i="26" s="1"/>
  <c r="D75" i="26" s="1"/>
  <c r="B85" i="27"/>
  <c r="C85" i="27" s="1"/>
  <c r="D85" i="27" s="1"/>
  <c r="B87" i="38" l="1"/>
  <c r="A88" i="38"/>
  <c r="C87" i="38"/>
  <c r="D87" i="38" s="1"/>
  <c r="B79" i="28"/>
  <c r="C79" i="28" s="1"/>
  <c r="D79" i="28" s="1"/>
  <c r="B106" i="34"/>
  <c r="A107" i="34"/>
  <c r="C106" i="34"/>
  <c r="D106" i="34" s="1"/>
  <c r="B76" i="26"/>
  <c r="C76" i="26" s="1"/>
  <c r="D76" i="26" s="1"/>
  <c r="B86" i="27"/>
  <c r="C86" i="27" s="1"/>
  <c r="D86" i="27" s="1"/>
  <c r="B88" i="38" l="1"/>
  <c r="C88" i="38" s="1"/>
  <c r="D88" i="38" s="1"/>
  <c r="A89" i="38"/>
  <c r="B80" i="28"/>
  <c r="C80" i="28" s="1"/>
  <c r="D80" i="28" s="1"/>
  <c r="B107" i="34"/>
  <c r="A108" i="34"/>
  <c r="C107" i="34"/>
  <c r="D107" i="34" s="1"/>
  <c r="B77" i="26"/>
  <c r="C77" i="26" s="1"/>
  <c r="D77" i="26" s="1"/>
  <c r="B87" i="27"/>
  <c r="C87" i="27" s="1"/>
  <c r="D87" i="27" s="1"/>
  <c r="B89" i="38" l="1"/>
  <c r="C89" i="38" s="1"/>
  <c r="D89" i="38" s="1"/>
  <c r="A90" i="38"/>
  <c r="B81" i="28"/>
  <c r="C81" i="28" s="1"/>
  <c r="D81" i="28" s="1"/>
  <c r="B108" i="34"/>
  <c r="C108" i="34" s="1"/>
  <c r="D108" i="34" s="1"/>
  <c r="A109" i="34"/>
  <c r="B78" i="26"/>
  <c r="C78" i="26" s="1"/>
  <c r="D78" i="26" s="1"/>
  <c r="B88" i="27"/>
  <c r="C88" i="27" s="1"/>
  <c r="D88" i="27" s="1"/>
  <c r="B90" i="38" l="1"/>
  <c r="C90" i="38" s="1"/>
  <c r="D90" i="38" s="1"/>
  <c r="A91" i="38"/>
  <c r="B82" i="28"/>
  <c r="C82" i="28" s="1"/>
  <c r="D82" i="28"/>
  <c r="B109" i="34"/>
  <c r="C109" i="34"/>
  <c r="D109" i="34" s="1"/>
  <c r="A110" i="34"/>
  <c r="B79" i="26"/>
  <c r="C79" i="26" s="1"/>
  <c r="D79" i="26" s="1"/>
  <c r="B89" i="27"/>
  <c r="C89" i="27" s="1"/>
  <c r="D89" i="27" s="1"/>
  <c r="B91" i="38" l="1"/>
  <c r="A92" i="38"/>
  <c r="C91" i="38"/>
  <c r="D91" i="38" s="1"/>
  <c r="B83" i="28"/>
  <c r="C83" i="28" s="1"/>
  <c r="D83" i="28" s="1"/>
  <c r="B110" i="34"/>
  <c r="C110" i="34" s="1"/>
  <c r="D110" i="34" s="1"/>
  <c r="A111" i="34"/>
  <c r="B80" i="26"/>
  <c r="C80" i="26" s="1"/>
  <c r="D80" i="26" s="1"/>
  <c r="B90" i="27"/>
  <c r="C90" i="27" s="1"/>
  <c r="D90" i="27" s="1"/>
  <c r="B92" i="38" l="1"/>
  <c r="C92" i="38" s="1"/>
  <c r="D92" i="38" s="1"/>
  <c r="A93" i="38"/>
  <c r="B84" i="28"/>
  <c r="C84" i="28" s="1"/>
  <c r="D84" i="28" s="1"/>
  <c r="B111" i="34"/>
  <c r="C111" i="34" s="1"/>
  <c r="D111" i="34" s="1"/>
  <c r="A112" i="34"/>
  <c r="B81" i="26"/>
  <c r="C81" i="26" s="1"/>
  <c r="D81" i="26" s="1"/>
  <c r="B91" i="27"/>
  <c r="C91" i="27" s="1"/>
  <c r="D91" i="27" s="1"/>
  <c r="B93" i="38" l="1"/>
  <c r="A94" i="38"/>
  <c r="C93" i="38"/>
  <c r="D93" i="38" s="1"/>
  <c r="B85" i="28"/>
  <c r="C85" i="28" s="1"/>
  <c r="D85" i="28"/>
  <c r="B112" i="34"/>
  <c r="C112" i="34"/>
  <c r="D112" i="34" s="1"/>
  <c r="A113" i="34"/>
  <c r="B82" i="26"/>
  <c r="C82" i="26" s="1"/>
  <c r="D82" i="26" s="1"/>
  <c r="B92" i="27"/>
  <c r="C92" i="27" s="1"/>
  <c r="D92" i="27" s="1"/>
  <c r="B94" i="38" l="1"/>
  <c r="C94" i="38" s="1"/>
  <c r="D94" i="38" s="1"/>
  <c r="A95" i="38"/>
  <c r="B86" i="28"/>
  <c r="C86" i="28" s="1"/>
  <c r="D86" i="28"/>
  <c r="B113" i="34"/>
  <c r="C113" i="34" s="1"/>
  <c r="D113" i="34" s="1"/>
  <c r="A114" i="34"/>
  <c r="B83" i="26"/>
  <c r="C83" i="26" s="1"/>
  <c r="D83" i="26" s="1"/>
  <c r="B93" i="27"/>
  <c r="C93" i="27" s="1"/>
  <c r="D93" i="27" s="1"/>
  <c r="B95" i="38" l="1"/>
  <c r="A96" i="38"/>
  <c r="C95" i="38"/>
  <c r="D95" i="38" s="1"/>
  <c r="B87" i="28"/>
  <c r="C87" i="28" s="1"/>
  <c r="D87" i="28" s="1"/>
  <c r="B114" i="34"/>
  <c r="A115" i="34"/>
  <c r="C114" i="34"/>
  <c r="D114" i="34" s="1"/>
  <c r="B84" i="26"/>
  <c r="C84" i="26" s="1"/>
  <c r="D84" i="26" s="1"/>
  <c r="B94" i="27"/>
  <c r="C94" i="27" s="1"/>
  <c r="D94" i="27" s="1"/>
  <c r="B96" i="38" l="1"/>
  <c r="C96" i="38" s="1"/>
  <c r="D96" i="38" s="1"/>
  <c r="A97" i="38"/>
  <c r="D88" i="28"/>
  <c r="B88" i="28"/>
  <c r="C88" i="28" s="1"/>
  <c r="B115" i="34"/>
  <c r="C115" i="34" s="1"/>
  <c r="D115" i="34" s="1"/>
  <c r="B85" i="26"/>
  <c r="C85" i="26" s="1"/>
  <c r="D85" i="26" s="1"/>
  <c r="B95" i="27"/>
  <c r="C95" i="27" s="1"/>
  <c r="D95" i="27" s="1"/>
  <c r="B97" i="38" l="1"/>
  <c r="A98" i="38"/>
  <c r="C97" i="38"/>
  <c r="D97" i="38" s="1"/>
  <c r="B89" i="28"/>
  <c r="C89" i="28" s="1"/>
  <c r="D89" i="28"/>
  <c r="B116" i="34"/>
  <c r="C116" i="34" s="1"/>
  <c r="D116" i="34" s="1"/>
  <c r="B86" i="26"/>
  <c r="C86" i="26" s="1"/>
  <c r="D86" i="26" s="1"/>
  <c r="B96" i="27"/>
  <c r="C96" i="27" s="1"/>
  <c r="D96" i="27" s="1"/>
  <c r="B98" i="38" l="1"/>
  <c r="C98" i="38" s="1"/>
  <c r="D98" i="38" s="1"/>
  <c r="A99" i="38"/>
  <c r="B90" i="28"/>
  <c r="C90" i="28" s="1"/>
  <c r="D90" i="28"/>
  <c r="B87" i="26"/>
  <c r="C87" i="26" s="1"/>
  <c r="D87" i="26" s="1"/>
  <c r="B97" i="27"/>
  <c r="C97" i="27" s="1"/>
  <c r="D97" i="27" s="1"/>
  <c r="B99" i="38" l="1"/>
  <c r="C99" i="38" s="1"/>
  <c r="D99" i="38" s="1"/>
  <c r="A100" i="38"/>
  <c r="B91" i="28"/>
  <c r="C91" i="28" s="1"/>
  <c r="D91" i="28" s="1"/>
  <c r="B88" i="26"/>
  <c r="C88" i="26" s="1"/>
  <c r="D88" i="26"/>
  <c r="B98" i="27"/>
  <c r="C98" i="27" s="1"/>
  <c r="D98" i="27" s="1"/>
  <c r="B100" i="38" l="1"/>
  <c r="C100" i="38" s="1"/>
  <c r="D100" i="38" s="1"/>
  <c r="A101" i="38"/>
  <c r="B92" i="28"/>
  <c r="C92" i="28" s="1"/>
  <c r="D92" i="28" s="1"/>
  <c r="B89" i="26"/>
  <c r="C89" i="26" s="1"/>
  <c r="D89" i="26" s="1"/>
  <c r="B99" i="27"/>
  <c r="C99" i="27" s="1"/>
  <c r="D99" i="27" s="1"/>
  <c r="B101" i="38" l="1"/>
  <c r="A102" i="38"/>
  <c r="C101" i="38"/>
  <c r="D101" i="38" s="1"/>
  <c r="B93" i="28"/>
  <c r="C93" i="28" s="1"/>
  <c r="D93" i="28" s="1"/>
  <c r="B90" i="26"/>
  <c r="C90" i="26" s="1"/>
  <c r="D90" i="26" s="1"/>
  <c r="B100" i="27"/>
  <c r="C100" i="27" s="1"/>
  <c r="D100" i="27" s="1"/>
  <c r="B102" i="38" l="1"/>
  <c r="A103" i="38"/>
  <c r="C102" i="38"/>
  <c r="D102" i="38" s="1"/>
  <c r="B94" i="28"/>
  <c r="C94" i="28" s="1"/>
  <c r="D94" i="28" s="1"/>
  <c r="B91" i="26"/>
  <c r="C91" i="26" s="1"/>
  <c r="D91" i="26" s="1"/>
  <c r="B101" i="27"/>
  <c r="C101" i="27" s="1"/>
  <c r="D101" i="27" s="1"/>
  <c r="B103" i="38" l="1"/>
  <c r="C103" i="38" s="1"/>
  <c r="D103" i="38" s="1"/>
  <c r="A104" i="38"/>
  <c r="B95" i="28"/>
  <c r="C95" i="28" s="1"/>
  <c r="D95" i="28" s="1"/>
  <c r="B92" i="26"/>
  <c r="C92" i="26" s="1"/>
  <c r="D92" i="26" s="1"/>
  <c r="B102" i="27"/>
  <c r="C102" i="27" s="1"/>
  <c r="D102" i="27" s="1"/>
  <c r="B104" i="38" l="1"/>
  <c r="C104" i="38" s="1"/>
  <c r="D104" i="38" s="1"/>
  <c r="A105" i="38"/>
  <c r="B96" i="28"/>
  <c r="C96" i="28" s="1"/>
  <c r="D96" i="28" s="1"/>
  <c r="B93" i="26"/>
  <c r="C93" i="26" s="1"/>
  <c r="D93" i="26"/>
  <c r="B103" i="27"/>
  <c r="C103" i="27" s="1"/>
  <c r="D103" i="27" s="1"/>
  <c r="B105" i="38" l="1"/>
  <c r="A106" i="38"/>
  <c r="C105" i="38"/>
  <c r="D105" i="38" s="1"/>
  <c r="B97" i="28"/>
  <c r="C97" i="28" s="1"/>
  <c r="D97" i="28" s="1"/>
  <c r="B94" i="26"/>
  <c r="C94" i="26" s="1"/>
  <c r="D94" i="26" s="1"/>
  <c r="B104" i="27"/>
  <c r="C104" i="27" s="1"/>
  <c r="D104" i="27" s="1"/>
  <c r="B106" i="38" l="1"/>
  <c r="C106" i="38" s="1"/>
  <c r="D106" i="38" s="1"/>
  <c r="A107" i="38"/>
  <c r="B98" i="28"/>
  <c r="C98" i="28" s="1"/>
  <c r="D98" i="28"/>
  <c r="B95" i="26"/>
  <c r="C95" i="26" s="1"/>
  <c r="D95" i="26" s="1"/>
  <c r="B105" i="27"/>
  <c r="C105" i="27" s="1"/>
  <c r="D105" i="27" s="1"/>
  <c r="B107" i="38" l="1"/>
  <c r="C107" i="38" s="1"/>
  <c r="D107" i="38" s="1"/>
  <c r="A108" i="38"/>
  <c r="B99" i="28"/>
  <c r="C99" i="28" s="1"/>
  <c r="D99" i="28" s="1"/>
  <c r="B96" i="26"/>
  <c r="C96" i="26" s="1"/>
  <c r="D96" i="26" s="1"/>
  <c r="B106" i="27"/>
  <c r="C106" i="27" s="1"/>
  <c r="D106" i="27" s="1"/>
  <c r="B108" i="38" l="1"/>
  <c r="C108" i="38" s="1"/>
  <c r="D108" i="38" s="1"/>
  <c r="A109" i="38"/>
  <c r="B100" i="28"/>
  <c r="C100" i="28" s="1"/>
  <c r="D100" i="28" s="1"/>
  <c r="B97" i="26"/>
  <c r="C97" i="26" s="1"/>
  <c r="D97" i="26" s="1"/>
  <c r="B107" i="27"/>
  <c r="C107" i="27" s="1"/>
  <c r="D107" i="27" s="1"/>
  <c r="B109" i="38" l="1"/>
  <c r="C109" i="38" s="1"/>
  <c r="D109" i="38" s="1"/>
  <c r="A110" i="38"/>
  <c r="B98" i="26"/>
  <c r="C98" i="26" s="1"/>
  <c r="D98" i="26" s="1"/>
  <c r="B108" i="27"/>
  <c r="C108" i="27" s="1"/>
  <c r="D108" i="27" s="1"/>
  <c r="B110" i="38" l="1"/>
  <c r="C110" i="38" s="1"/>
  <c r="D110" i="38" s="1"/>
  <c r="A111" i="38"/>
  <c r="B99" i="26"/>
  <c r="C99" i="26" s="1"/>
  <c r="D99" i="26" s="1"/>
  <c r="B109" i="27"/>
  <c r="C109" i="27" s="1"/>
  <c r="D109" i="27" s="1"/>
  <c r="B111" i="38" l="1"/>
  <c r="C111" i="38" s="1"/>
  <c r="D111" i="38" s="1"/>
  <c r="A112" i="38"/>
  <c r="B100" i="26"/>
  <c r="C100" i="26" s="1"/>
  <c r="D100" i="26" s="1"/>
  <c r="B110" i="27"/>
  <c r="C110" i="27" s="1"/>
  <c r="D110" i="27" s="1"/>
  <c r="B112" i="38" l="1"/>
  <c r="A113" i="38"/>
  <c r="C112" i="38"/>
  <c r="D112" i="38" s="1"/>
  <c r="B101" i="26"/>
  <c r="C101" i="26" s="1"/>
  <c r="D101" i="26" s="1"/>
  <c r="B111" i="27"/>
  <c r="C111" i="27" s="1"/>
  <c r="D111" i="27" s="1"/>
  <c r="B113" i="38" l="1"/>
  <c r="C113" i="38" s="1"/>
  <c r="D113" i="38" s="1"/>
  <c r="A114" i="38"/>
  <c r="B102" i="26"/>
  <c r="C102" i="26" s="1"/>
  <c r="D102" i="26" s="1"/>
  <c r="B112" i="27"/>
  <c r="C112" i="27" s="1"/>
  <c r="D112" i="27" s="1"/>
  <c r="B114" i="38" l="1"/>
  <c r="C114" i="38" s="1"/>
  <c r="D114" i="38" s="1"/>
  <c r="A115" i="38"/>
  <c r="B103" i="26"/>
  <c r="C103" i="26" s="1"/>
  <c r="D103" i="26" s="1"/>
  <c r="B113" i="27"/>
  <c r="C113" i="27" s="1"/>
  <c r="D113" i="27" s="1"/>
  <c r="B115" i="38" l="1"/>
  <c r="A116" i="38"/>
  <c r="C115" i="38"/>
  <c r="D115" i="38" s="1"/>
  <c r="B104" i="26"/>
  <c r="C104" i="26" s="1"/>
  <c r="D104" i="26" s="1"/>
  <c r="B114" i="27"/>
  <c r="C114" i="27" s="1"/>
  <c r="D114" i="27" s="1"/>
  <c r="B116" i="38" l="1"/>
  <c r="C116" i="38" s="1"/>
  <c r="D116" i="38" s="1"/>
  <c r="A117" i="38"/>
  <c r="B105" i="26"/>
  <c r="C105" i="26" s="1"/>
  <c r="D105" i="26" s="1"/>
  <c r="B115" i="27"/>
  <c r="C115" i="27" s="1"/>
  <c r="D115" i="27" s="1"/>
  <c r="B117" i="38" l="1"/>
  <c r="C117" i="38" s="1"/>
  <c r="D117" i="38" s="1"/>
  <c r="A131" i="38"/>
  <c r="C131" i="38" s="1"/>
  <c r="B106" i="26"/>
  <c r="C106" i="26" s="1"/>
  <c r="D106" i="26"/>
  <c r="B116" i="27"/>
  <c r="C116" i="27" s="1"/>
  <c r="D116" i="27" s="1"/>
  <c r="B118" i="38" l="1"/>
  <c r="C118" i="38" s="1"/>
  <c r="D118" i="38" s="1"/>
  <c r="B107" i="26"/>
  <c r="C107" i="26" s="1"/>
  <c r="D107" i="26" s="1"/>
  <c r="B117" i="27"/>
  <c r="C117" i="27" s="1"/>
  <c r="D117" i="27" s="1"/>
  <c r="B119" i="38" l="1"/>
  <c r="C119" i="38" s="1"/>
  <c r="D119" i="38" s="1"/>
  <c r="B108" i="26"/>
  <c r="C108" i="26" s="1"/>
  <c r="D108" i="26" s="1"/>
  <c r="B118" i="27"/>
  <c r="C118" i="27" s="1"/>
  <c r="D118" i="27" s="1"/>
  <c r="B120" i="38" l="1"/>
  <c r="C120" i="38" s="1"/>
  <c r="D120" i="38" s="1"/>
  <c r="B109" i="26"/>
  <c r="C109" i="26" s="1"/>
  <c r="D109" i="26" s="1"/>
  <c r="B119" i="27"/>
  <c r="C119" i="27" s="1"/>
  <c r="D119" i="27" s="1"/>
  <c r="B121" i="38" l="1"/>
  <c r="C121" i="38" s="1"/>
  <c r="D121" i="38" s="1"/>
  <c r="B110" i="26"/>
  <c r="C110" i="26" s="1"/>
  <c r="D110" i="26" s="1"/>
  <c r="B120" i="27"/>
  <c r="C120" i="27" s="1"/>
  <c r="D120" i="27" s="1"/>
  <c r="B122" i="38" l="1"/>
  <c r="C122" i="38" s="1"/>
  <c r="D122" i="38" s="1"/>
  <c r="D111" i="26"/>
  <c r="B111" i="26"/>
  <c r="C111" i="26" s="1"/>
  <c r="B121" i="27"/>
  <c r="C121" i="27" s="1"/>
  <c r="D121" i="27" s="1"/>
  <c r="B123" i="38" l="1"/>
  <c r="C123" i="38" s="1"/>
  <c r="D123" i="38" s="1"/>
  <c r="B112" i="26"/>
  <c r="C112" i="26" s="1"/>
  <c r="D112" i="26" s="1"/>
  <c r="B122" i="27"/>
  <c r="C122" i="27" s="1"/>
  <c r="D122" i="27" s="1"/>
  <c r="B124" i="38" l="1"/>
  <c r="C124" i="38" s="1"/>
  <c r="D124" i="38" s="1"/>
  <c r="B113" i="26"/>
  <c r="C113" i="26" s="1"/>
  <c r="D113" i="26" s="1"/>
  <c r="B123" i="27"/>
  <c r="C123" i="27" s="1"/>
  <c r="D123" i="27" s="1"/>
  <c r="B125" i="38" l="1"/>
  <c r="C125" i="38" s="1"/>
  <c r="D125" i="38" s="1"/>
  <c r="B114" i="26"/>
  <c r="C114" i="26" s="1"/>
  <c r="D114" i="26" s="1"/>
  <c r="B124" i="27"/>
  <c r="C124" i="27" s="1"/>
  <c r="D124" i="27" s="1"/>
  <c r="B126" i="38" l="1"/>
  <c r="C126" i="38" s="1"/>
  <c r="D126" i="38" s="1"/>
  <c r="B115" i="26"/>
  <c r="C115" i="26" s="1"/>
  <c r="D115" i="26" s="1"/>
  <c r="B125" i="27"/>
  <c r="C125" i="27" s="1"/>
  <c r="D125" i="27" s="1"/>
  <c r="B127" i="38" l="1"/>
  <c r="C127" i="38" s="1"/>
  <c r="D127" i="38" s="1"/>
  <c r="B116" i="26"/>
  <c r="C116" i="26" s="1"/>
  <c r="D116" i="26" s="1"/>
  <c r="B126" i="27"/>
  <c r="C126" i="27" s="1"/>
  <c r="D126" i="27" s="1"/>
  <c r="B117" i="26" l="1"/>
  <c r="C117" i="26" s="1"/>
  <c r="D117" i="26" s="1"/>
  <c r="B127" i="27"/>
  <c r="C127" i="27" s="1"/>
  <c r="D127" i="27" s="1"/>
  <c r="B118" i="26" l="1"/>
  <c r="C118" i="26" s="1"/>
  <c r="D118" i="26" s="1"/>
  <c r="B128" i="27"/>
  <c r="C128" i="27" s="1"/>
  <c r="D128" i="27" s="1"/>
  <c r="B119" i="26" l="1"/>
  <c r="C119" i="26" s="1"/>
  <c r="D119" i="26" s="1"/>
  <c r="B120" i="26" l="1"/>
  <c r="C120" i="26" s="1"/>
  <c r="D120" i="26"/>
  <c r="B121" i="26" l="1"/>
  <c r="C121" i="26" s="1"/>
  <c r="D121" i="26" s="1"/>
  <c r="B122" i="26" l="1"/>
  <c r="C122" i="26" s="1"/>
  <c r="D122" i="26" s="1"/>
  <c r="B123" i="26" l="1"/>
  <c r="C123" i="26" s="1"/>
  <c r="D123" i="26" s="1"/>
  <c r="B124" i="26" l="1"/>
  <c r="C124" i="26" s="1"/>
  <c r="D124" i="26" s="1"/>
  <c r="B125" i="26" l="1"/>
  <c r="C125" i="26" s="1"/>
  <c r="D125" i="26" s="1"/>
  <c r="B126" i="26" l="1"/>
  <c r="C126" i="26" s="1"/>
  <c r="D126" i="26" s="1"/>
  <c r="B127" i="26" l="1"/>
  <c r="C127" i="26" s="1"/>
  <c r="D127" i="26" s="1"/>
  <c r="B128" i="26" l="1"/>
  <c r="C128" i="26" s="1"/>
  <c r="D128" i="26" s="1"/>
  <c r="B129" i="26" l="1"/>
  <c r="C129" i="26" s="1"/>
  <c r="D129" i="26" s="1"/>
  <c r="B130" i="26" l="1"/>
  <c r="C130" i="26" s="1"/>
  <c r="D130" i="26" s="1"/>
  <c r="B131" i="26" l="1"/>
  <c r="C131" i="26" s="1"/>
  <c r="D131" i="26" s="1"/>
  <c r="B132" i="26" l="1"/>
  <c r="C132" i="26" s="1"/>
  <c r="D132" i="26" s="1"/>
  <c r="B133" i="26" l="1"/>
  <c r="C133" i="26" s="1"/>
  <c r="D133" i="26" s="1"/>
  <c r="B134" i="26" l="1"/>
  <c r="C134" i="26" s="1"/>
  <c r="D134" i="26" s="1"/>
  <c r="B135" i="26" l="1"/>
  <c r="C135" i="26" s="1"/>
  <c r="D135" i="26" s="1"/>
  <c r="B136" i="26" l="1"/>
  <c r="C136" i="26" s="1"/>
  <c r="D136" i="26" s="1"/>
  <c r="B137" i="26" l="1"/>
  <c r="C137" i="26" s="1"/>
  <c r="D137" i="26" s="1"/>
  <c r="B138" i="26" l="1"/>
  <c r="C138" i="26" s="1"/>
  <c r="D138" i="26" s="1"/>
  <c r="B139" i="26" l="1"/>
  <c r="C139" i="26" s="1"/>
  <c r="D139" i="26" s="1"/>
  <c r="B140" i="26" l="1"/>
  <c r="C140" i="26" s="1"/>
  <c r="D140" i="26" s="1"/>
  <c r="B141" i="26" l="1"/>
  <c r="C141" i="26" s="1"/>
  <c r="D141" i="26" s="1"/>
  <c r="B142" i="26" l="1"/>
  <c r="C142" i="26" s="1"/>
  <c r="D142" i="26" s="1"/>
  <c r="B143" i="26" l="1"/>
  <c r="C143" i="26" s="1"/>
  <c r="D143" i="26" s="1"/>
  <c r="B144" i="26" l="1"/>
  <c r="C144" i="26" s="1"/>
  <c r="D144" i="26" s="1"/>
  <c r="B145" i="26" l="1"/>
  <c r="C145" i="26" s="1"/>
  <c r="D145" i="26" s="1"/>
  <c r="B146" i="26" l="1"/>
  <c r="C146" i="26" s="1"/>
  <c r="D146" i="26"/>
  <c r="B147" i="26" l="1"/>
  <c r="C147" i="26" s="1"/>
  <c r="D147" i="26" s="1"/>
  <c r="B148" i="26" l="1"/>
  <c r="C148" i="26" s="1"/>
  <c r="D148" i="26" s="1"/>
  <c r="B149" i="26" l="1"/>
  <c r="C149" i="26" s="1"/>
  <c r="D149" i="26"/>
  <c r="B150" i="26" l="1"/>
  <c r="C150" i="26" s="1"/>
  <c r="D150" i="26" s="1"/>
  <c r="B151" i="26" l="1"/>
  <c r="C151" i="26" s="1"/>
  <c r="D151" i="26" s="1"/>
  <c r="B152" i="26" l="1"/>
  <c r="C152" i="26" s="1"/>
  <c r="D152" i="26" s="1"/>
  <c r="B153" i="26" l="1"/>
  <c r="C153" i="26" s="1"/>
  <c r="D153" i="26" s="1"/>
  <c r="B154" i="26" l="1"/>
  <c r="C154" i="26" s="1"/>
  <c r="D154" i="26"/>
  <c r="B155" i="26" l="1"/>
  <c r="C155" i="26" s="1"/>
  <c r="D155" i="26" s="1"/>
  <c r="B156" i="26" l="1"/>
  <c r="C156" i="26" s="1"/>
  <c r="D156" i="26" s="1"/>
  <c r="B157" i="26" l="1"/>
  <c r="C157" i="26" s="1"/>
  <c r="D157" i="26" s="1"/>
  <c r="U19" i="11" l="1"/>
  <c r="B52" i="6"/>
  <c r="G29" i="6"/>
  <c r="G30" i="6" s="1"/>
  <c r="G31" i="6" s="1"/>
  <c r="G32" i="6" s="1"/>
  <c r="G33" i="6" s="1"/>
  <c r="G34" i="6" s="1"/>
  <c r="G35" i="6" s="1"/>
  <c r="G36" i="6" s="1"/>
  <c r="G37" i="6" s="1"/>
  <c r="G38" i="6" s="1"/>
  <c r="G39" i="6" s="1"/>
  <c r="G40" i="6" s="1"/>
  <c r="G41" i="6" s="1"/>
  <c r="G42" i="6" s="1"/>
  <c r="G43" i="6" s="1"/>
  <c r="G44" i="6" s="1"/>
  <c r="G45" i="6" s="1"/>
  <c r="G46" i="6" s="1"/>
  <c r="G47" i="6" s="1"/>
  <c r="G48" i="6" s="1"/>
  <c r="G49" i="6" s="1"/>
  <c r="G50" i="6" s="1"/>
  <c r="G51" i="6" s="1"/>
  <c r="G52" i="6" s="1"/>
  <c r="G53" i="6" s="1"/>
  <c r="G54" i="6" s="1"/>
  <c r="G55" i="6" s="1"/>
  <c r="G56" i="6" s="1"/>
  <c r="G57" i="6" s="1"/>
  <c r="G58" i="6" s="1"/>
  <c r="G59" i="6" s="1"/>
  <c r="G60" i="6" s="1"/>
  <c r="G61" i="6" s="1"/>
  <c r="G62" i="6" s="1"/>
  <c r="G63" i="6" s="1"/>
  <c r="G64" i="6" s="1"/>
  <c r="G65" i="6" s="1"/>
  <c r="G66" i="6" s="1"/>
  <c r="G67" i="6" s="1"/>
  <c r="G68" i="6" s="1"/>
  <c r="G69" i="6" s="1"/>
  <c r="G70" i="6" s="1"/>
  <c r="G71" i="6" s="1"/>
  <c r="G72" i="6" s="1"/>
  <c r="G73" i="6" s="1"/>
  <c r="G74" i="6" s="1"/>
  <c r="G75" i="6" s="1"/>
  <c r="G76" i="6" s="1"/>
  <c r="G77" i="6" s="1"/>
  <c r="G78" i="6" s="1"/>
  <c r="G79" i="6" s="1"/>
  <c r="G80" i="6" s="1"/>
  <c r="G81" i="6" s="1"/>
  <c r="G82" i="6" s="1"/>
  <c r="G83" i="6" s="1"/>
  <c r="G84" i="6" s="1"/>
  <c r="G85" i="6" s="1"/>
  <c r="G86" i="6" s="1"/>
  <c r="G87" i="6" s="1"/>
  <c r="G88" i="6" s="1"/>
  <c r="G89" i="6" s="1"/>
  <c r="G90" i="6" s="1"/>
  <c r="G91" i="6" s="1"/>
  <c r="G92" i="6" s="1"/>
  <c r="G93" i="6" s="1"/>
  <c r="G94" i="6" s="1"/>
  <c r="G95" i="6" s="1"/>
  <c r="G96" i="6" s="1"/>
  <c r="G97" i="6" s="1"/>
  <c r="G98" i="6" s="1"/>
  <c r="G99" i="6" s="1"/>
  <c r="G100" i="6" s="1"/>
  <c r="G28" i="6"/>
  <c r="W25" i="11" l="1"/>
  <c r="W42" i="11" s="1"/>
  <c r="W23" i="11"/>
  <c r="V23" i="11"/>
  <c r="D4" i="28"/>
  <c r="D5" i="28" s="1"/>
  <c r="D6" i="28" s="1"/>
  <c r="D7" i="28" s="1"/>
  <c r="D8" i="28" s="1"/>
  <c r="D9" i="28" s="1"/>
  <c r="D10" i="28" s="1"/>
  <c r="D11" i="28" s="1"/>
  <c r="D12" i="28" s="1"/>
  <c r="D13" i="28" s="1"/>
  <c r="D14" i="28" s="1"/>
  <c r="D15" i="28" s="1"/>
  <c r="D16" i="28" s="1"/>
  <c r="D17" i="28" s="1"/>
  <c r="D18" i="28" s="1"/>
  <c r="D19" i="28" s="1"/>
  <c r="D20" i="28" s="1"/>
  <c r="D21" i="28" s="1"/>
  <c r="D22" i="28" s="1"/>
  <c r="D23" i="28" s="1"/>
  <c r="D24" i="28" s="1"/>
  <c r="D25" i="28" s="1"/>
  <c r="D26" i="28" s="1"/>
  <c r="D27" i="28" s="1"/>
  <c r="D28" i="28" s="1"/>
  <c r="D4" i="27"/>
  <c r="D5" i="27" s="1"/>
  <c r="D6" i="27" s="1"/>
  <c r="D7" i="27" s="1"/>
  <c r="D8" i="27" s="1"/>
  <c r="D9" i="27" s="1"/>
  <c r="D10" i="27" s="1"/>
  <c r="D11" i="27" s="1"/>
  <c r="D12" i="27" s="1"/>
  <c r="D13" i="27" s="1"/>
  <c r="D14" i="27" s="1"/>
  <c r="D15" i="27" s="1"/>
  <c r="D16" i="27" s="1"/>
  <c r="D17" i="27" s="1"/>
  <c r="D18" i="27" s="1"/>
  <c r="D19" i="27" s="1"/>
  <c r="D20" i="27" s="1"/>
  <c r="D21" i="27" s="1"/>
  <c r="D22" i="27" s="1"/>
  <c r="D23" i="27" s="1"/>
  <c r="D24" i="27" s="1"/>
  <c r="D25" i="27" s="1"/>
  <c r="D26" i="27" s="1"/>
  <c r="D27" i="27" s="1"/>
  <c r="D28" i="27" s="1"/>
  <c r="D29" i="27" s="1"/>
  <c r="D30" i="27" s="1"/>
  <c r="D31" i="27" s="1"/>
  <c r="D4" i="26"/>
  <c r="D5" i="26" s="1"/>
  <c r="D6" i="26" s="1"/>
  <c r="D7" i="26" s="1"/>
  <c r="D8" i="26" s="1"/>
  <c r="D9" i="26" s="1"/>
  <c r="D10" i="26" s="1"/>
  <c r="D11" i="26" s="1"/>
  <c r="D12" i="26" s="1"/>
  <c r="D13" i="26" s="1"/>
  <c r="D14" i="26" s="1"/>
  <c r="D15" i="26" s="1"/>
  <c r="D16" i="26" s="1"/>
  <c r="D17" i="26" s="1"/>
  <c r="D18" i="26" s="1"/>
  <c r="D19" i="26" s="1"/>
  <c r="D20" i="26" s="1"/>
  <c r="D21" i="26" s="1"/>
  <c r="D22" i="26" s="1"/>
  <c r="D23" i="26" s="1"/>
  <c r="D24" i="26" s="1"/>
  <c r="D25" i="26" s="1"/>
  <c r="D26" i="26" s="1"/>
  <c r="D27" i="26" s="1"/>
  <c r="D28" i="26" s="1"/>
  <c r="D4" i="25"/>
  <c r="B333" i="1" l="1"/>
  <c r="W43" i="11" l="1"/>
  <c r="W39" i="11"/>
  <c r="W38" i="11"/>
  <c r="W37" i="11"/>
  <c r="W36" i="11"/>
  <c r="W31" i="11"/>
  <c r="W40" i="11"/>
  <c r="W35" i="11"/>
  <c r="W16" i="11"/>
  <c r="W15" i="11"/>
  <c r="W11" i="11"/>
  <c r="W30" i="11" s="1"/>
  <c r="W10" i="11"/>
  <c r="W27" i="11" s="1"/>
  <c r="U157" i="11"/>
  <c r="V20" i="11"/>
  <c r="V15" i="11"/>
  <c r="W44" i="11" l="1"/>
  <c r="W32" i="11"/>
  <c r="W34" i="11"/>
  <c r="U119" i="11"/>
  <c r="W119" i="11"/>
  <c r="H161" i="1"/>
  <c r="X46" i="11" l="1"/>
  <c r="X47" i="11" s="1"/>
  <c r="W45" i="11" l="1"/>
  <c r="D346" i="1"/>
  <c r="E346" i="1" s="1"/>
  <c r="D345" i="1"/>
  <c r="E345" i="1" s="1"/>
  <c r="B349" i="1" l="1"/>
  <c r="C349" i="1" s="1"/>
  <c r="AE25" i="11" l="1"/>
  <c r="AG25" i="11"/>
  <c r="G196" i="1"/>
  <c r="F192" i="1"/>
  <c r="F194" i="1" s="1"/>
  <c r="A86" i="11" l="1"/>
  <c r="AH25" i="11"/>
  <c r="AH24" i="11"/>
  <c r="AH23" i="11"/>
  <c r="A87" i="11" s="1"/>
  <c r="A88" i="11" s="1"/>
  <c r="A91" i="11" s="1"/>
  <c r="AH22" i="11"/>
  <c r="V40" i="11" l="1"/>
  <c r="AC30" i="11" l="1"/>
  <c r="AC4" i="11"/>
  <c r="X189" i="24" l="1"/>
  <c r="Z188" i="24"/>
  <c r="X188" i="24"/>
  <c r="W184" i="24"/>
  <c r="W183" i="24"/>
  <c r="Z180" i="24"/>
  <c r="Z182" i="24" s="1"/>
  <c r="Z183" i="24" s="1"/>
  <c r="Z184" i="24" s="1"/>
  <c r="Z185" i="24" s="1"/>
  <c r="W180" i="24"/>
  <c r="Z179" i="24"/>
  <c r="W179" i="24"/>
  <c r="Z178" i="24"/>
  <c r="X178" i="24"/>
  <c r="X179" i="24" s="1"/>
  <c r="X180" i="24" s="1"/>
  <c r="X181" i="24" s="1"/>
  <c r="X182" i="24" s="1"/>
  <c r="X183" i="24" s="1"/>
  <c r="X184" i="24" s="1"/>
  <c r="X185" i="24" s="1"/>
  <c r="X186" i="24" s="1"/>
  <c r="Z177" i="24"/>
  <c r="X177" i="24"/>
  <c r="Z153" i="24"/>
  <c r="AB153" i="24" s="1"/>
  <c r="Y153" i="24"/>
  <c r="X153" i="24"/>
  <c r="V153" i="24"/>
  <c r="AE152" i="24"/>
  <c r="AC152" i="24"/>
  <c r="AB152" i="24"/>
  <c r="AD152" i="24" s="1"/>
  <c r="AA152" i="24"/>
  <c r="Z152" i="24"/>
  <c r="Y152" i="24"/>
  <c r="X152" i="24"/>
  <c r="AE151" i="24"/>
  <c r="AC151" i="24"/>
  <c r="AB151" i="24"/>
  <c r="AD151" i="24" s="1"/>
  <c r="AA151" i="24"/>
  <c r="Z151" i="24"/>
  <c r="Y151" i="24"/>
  <c r="X151" i="24"/>
  <c r="AE150" i="24"/>
  <c r="AC150" i="24"/>
  <c r="AB150" i="24"/>
  <c r="AD150" i="24" s="1"/>
  <c r="AA150" i="24"/>
  <c r="Z150" i="24"/>
  <c r="Y150" i="24"/>
  <c r="X150" i="24"/>
  <c r="AE149" i="24"/>
  <c r="AC149" i="24"/>
  <c r="AB149" i="24"/>
  <c r="AD149" i="24" s="1"/>
  <c r="AA149" i="24"/>
  <c r="Y149" i="24"/>
  <c r="V141" i="24"/>
  <c r="V140" i="24"/>
  <c r="U140" i="24"/>
  <c r="V137" i="24"/>
  <c r="Z134" i="24"/>
  <c r="Z136" i="24" s="1"/>
  <c r="Z138" i="24" s="1"/>
  <c r="Z133" i="24"/>
  <c r="AQ109" i="24"/>
  <c r="AT108" i="24"/>
  <c r="AU108" i="24" s="1"/>
  <c r="AS108" i="24"/>
  <c r="AR108" i="24"/>
  <c r="AQ108" i="24"/>
  <c r="AT107" i="24"/>
  <c r="AW107" i="24" s="1"/>
  <c r="AS107" i="24"/>
  <c r="AR107" i="24"/>
  <c r="AQ107" i="24"/>
  <c r="AW106" i="24"/>
  <c r="AU106" i="24"/>
  <c r="AT106" i="24"/>
  <c r="AV106" i="24" s="1"/>
  <c r="AS106" i="24"/>
  <c r="AR106" i="24"/>
  <c r="AQ106" i="24"/>
  <c r="AR105" i="24"/>
  <c r="AR109" i="24" s="1"/>
  <c r="AS109" i="24" s="1"/>
  <c r="AQ105" i="24"/>
  <c r="AS104" i="24"/>
  <c r="AR104" i="24"/>
  <c r="AT104" i="24" s="1"/>
  <c r="AQ104" i="24"/>
  <c r="AW103" i="24"/>
  <c r="AV103" i="24"/>
  <c r="AU103" i="24"/>
  <c r="AT103" i="24"/>
  <c r="AS103" i="24"/>
  <c r="AR103" i="24"/>
  <c r="AQ103" i="24"/>
  <c r="U103" i="24"/>
  <c r="AW102" i="24"/>
  <c r="AV102" i="24"/>
  <c r="AU102" i="24"/>
  <c r="AT102" i="24"/>
  <c r="AS102" i="24"/>
  <c r="AR102" i="24"/>
  <c r="AQ102" i="24"/>
  <c r="U102" i="24"/>
  <c r="AW101" i="24"/>
  <c r="AV101" i="24"/>
  <c r="AU101" i="24"/>
  <c r="AT101" i="24"/>
  <c r="AS101" i="24"/>
  <c r="AR101" i="24"/>
  <c r="AQ101" i="24"/>
  <c r="U101" i="24"/>
  <c r="AE100" i="24"/>
  <c r="AD100" i="24"/>
  <c r="AC100" i="24"/>
  <c r="Y99" i="24"/>
  <c r="Z98" i="24"/>
  <c r="AA98" i="24" s="1"/>
  <c r="Y98" i="24"/>
  <c r="AD97" i="24"/>
  <c r="AC97" i="24"/>
  <c r="AB97" i="24"/>
  <c r="AA97" i="24"/>
  <c r="Z97" i="24"/>
  <c r="Y97" i="24"/>
  <c r="AD96" i="24"/>
  <c r="AC96" i="24"/>
  <c r="AB96" i="24"/>
  <c r="AA96" i="24"/>
  <c r="Z96" i="24"/>
  <c r="Y96" i="24"/>
  <c r="AA95" i="24"/>
  <c r="AD95" i="24" s="1"/>
  <c r="Z95" i="24"/>
  <c r="Z99" i="24" s="1"/>
  <c r="Y95" i="24"/>
  <c r="AD94" i="24"/>
  <c r="AB94" i="24"/>
  <c r="AA94" i="24"/>
  <c r="AC94" i="24" s="1"/>
  <c r="Y94" i="24"/>
  <c r="AD93" i="24"/>
  <c r="AC93" i="24"/>
  <c r="AB93" i="24"/>
  <c r="AA93" i="24"/>
  <c r="Z93" i="24"/>
  <c r="Y93" i="24"/>
  <c r="AC92" i="24"/>
  <c r="AB92" i="24"/>
  <c r="AA92" i="24"/>
  <c r="AD92" i="24" s="1"/>
  <c r="Z92" i="24"/>
  <c r="Y92" i="24"/>
  <c r="AA91" i="24"/>
  <c r="AD91" i="24" s="1"/>
  <c r="Z91" i="24"/>
  <c r="Y91" i="24"/>
  <c r="Y79" i="24"/>
  <c r="X79" i="24"/>
  <c r="X77" i="24"/>
  <c r="X76" i="24"/>
  <c r="X75" i="24"/>
  <c r="B72" i="24"/>
  <c r="Y71" i="24"/>
  <c r="V70" i="24"/>
  <c r="Z69" i="24"/>
  <c r="Z71" i="24" s="1"/>
  <c r="Y69" i="24"/>
  <c r="AA69" i="24" s="1"/>
  <c r="X69" i="24"/>
  <c r="V69" i="24"/>
  <c r="AD68" i="24"/>
  <c r="AC68" i="24"/>
  <c r="AB68" i="24"/>
  <c r="AA68" i="24"/>
  <c r="Z68" i="24"/>
  <c r="Y68" i="24"/>
  <c r="X68" i="24"/>
  <c r="AD67" i="24"/>
  <c r="AC67" i="24"/>
  <c r="AB67" i="24"/>
  <c r="AA67" i="24"/>
  <c r="Z67" i="24"/>
  <c r="Y67" i="24"/>
  <c r="X67" i="24"/>
  <c r="AD66" i="24"/>
  <c r="AC66" i="24"/>
  <c r="AB66" i="24"/>
  <c r="AA66" i="24"/>
  <c r="Z66" i="24"/>
  <c r="Y66" i="24"/>
  <c r="X66" i="24"/>
  <c r="AC65" i="24"/>
  <c r="AB65" i="24"/>
  <c r="AA65" i="24"/>
  <c r="AD65" i="24" s="1"/>
  <c r="Y65" i="24"/>
  <c r="Z57" i="24"/>
  <c r="AA57" i="24" s="1"/>
  <c r="Y57" i="24"/>
  <c r="AA56" i="24"/>
  <c r="Z56" i="24"/>
  <c r="AB56" i="24" s="1"/>
  <c r="Y56" i="24"/>
  <c r="AE55" i="24"/>
  <c r="AD55" i="24"/>
  <c r="AC55" i="24"/>
  <c r="AB55" i="24"/>
  <c r="AA55" i="24"/>
  <c r="Z55" i="24"/>
  <c r="Y55" i="24"/>
  <c r="AE54" i="24"/>
  <c r="AD54" i="24"/>
  <c r="AC54" i="24"/>
  <c r="AB54" i="24"/>
  <c r="AA54" i="24"/>
  <c r="Z54" i="24"/>
  <c r="Y54" i="24"/>
  <c r="AD53" i="24"/>
  <c r="AC53" i="24"/>
  <c r="AB53" i="24"/>
  <c r="AE53" i="24" s="1"/>
  <c r="AA53" i="24"/>
  <c r="Z53" i="24"/>
  <c r="Y53" i="24"/>
  <c r="W53" i="24"/>
  <c r="AD52" i="24"/>
  <c r="AC52" i="24"/>
  <c r="AB52" i="24"/>
  <c r="AE52" i="24" s="1"/>
  <c r="AA52" i="24"/>
  <c r="Z52" i="24"/>
  <c r="Y52" i="24"/>
  <c r="W52" i="24"/>
  <c r="AD51" i="24"/>
  <c r="AC51" i="24"/>
  <c r="AB51" i="24"/>
  <c r="AE51" i="24" s="1"/>
  <c r="AA51" i="24"/>
  <c r="Z51" i="24"/>
  <c r="Y51" i="24"/>
  <c r="W51" i="24"/>
  <c r="AD50" i="24"/>
  <c r="AC50" i="24"/>
  <c r="AB50" i="24"/>
  <c r="AE50" i="24" s="1"/>
  <c r="AA50" i="24"/>
  <c r="Z50" i="24"/>
  <c r="Y50" i="24"/>
  <c r="W50" i="24"/>
  <c r="AD49" i="24"/>
  <c r="AC49" i="24"/>
  <c r="AB49" i="24"/>
  <c r="AE49" i="24" s="1"/>
  <c r="AA49" i="24"/>
  <c r="Z49" i="24"/>
  <c r="Y49" i="24"/>
  <c r="W49" i="24"/>
  <c r="L34" i="24"/>
  <c r="Z33" i="24"/>
  <c r="Z34" i="24" s="1"/>
  <c r="R33" i="24"/>
  <c r="R34" i="24" s="1"/>
  <c r="L33" i="24"/>
  <c r="L35" i="24" s="1"/>
  <c r="L36" i="24" s="1"/>
  <c r="K33" i="24"/>
  <c r="K35" i="24" s="1"/>
  <c r="K36" i="24" s="1"/>
  <c r="J33" i="24"/>
  <c r="I33" i="24"/>
  <c r="I35" i="24" s="1"/>
  <c r="G33" i="24"/>
  <c r="AC32" i="24"/>
  <c r="AC33" i="24" s="1"/>
  <c r="AC34" i="24" s="1"/>
  <c r="AB32" i="24"/>
  <c r="AB33" i="24" s="1"/>
  <c r="AB34" i="24" s="1"/>
  <c r="AB31" i="24"/>
  <c r="Z31" i="24"/>
  <c r="Y31" i="24"/>
  <c r="X31" i="24"/>
  <c r="W31" i="24"/>
  <c r="V31" i="24"/>
  <c r="U31" i="24"/>
  <c r="T31" i="24"/>
  <c r="S31" i="24"/>
  <c r="R31" i="24"/>
  <c r="Q31" i="24"/>
  <c r="P31" i="24"/>
  <c r="Z30" i="24"/>
  <c r="Z29" i="24"/>
  <c r="Y29" i="24"/>
  <c r="Z28" i="24"/>
  <c r="Y28" i="24"/>
  <c r="X28" i="24"/>
  <c r="W28" i="24"/>
  <c r="V28" i="24"/>
  <c r="U28" i="24"/>
  <c r="T28" i="24"/>
  <c r="S28" i="24"/>
  <c r="R28" i="24"/>
  <c r="Q28" i="24"/>
  <c r="P28" i="24"/>
  <c r="O28" i="24"/>
  <c r="N28" i="24"/>
  <c r="M28" i="24"/>
  <c r="Z27" i="24"/>
  <c r="Y27" i="24"/>
  <c r="X27" i="24"/>
  <c r="W27" i="24"/>
  <c r="V27" i="24"/>
  <c r="U27" i="24"/>
  <c r="T27" i="24"/>
  <c r="S27" i="24"/>
  <c r="R27" i="24"/>
  <c r="Q27" i="24"/>
  <c r="P27" i="24"/>
  <c r="O27" i="24"/>
  <c r="N27" i="24"/>
  <c r="M27" i="24"/>
  <c r="L27" i="24"/>
  <c r="I27" i="24"/>
  <c r="Z26" i="24"/>
  <c r="Y26" i="24"/>
  <c r="X26" i="24"/>
  <c r="W26" i="24"/>
  <c r="V26" i="24"/>
  <c r="U26" i="24"/>
  <c r="Z25" i="24"/>
  <c r="Y25" i="24"/>
  <c r="X25" i="24"/>
  <c r="W25" i="24"/>
  <c r="Z24" i="24"/>
  <c r="Y24" i="24"/>
  <c r="X24" i="24"/>
  <c r="W24" i="24"/>
  <c r="V24" i="24"/>
  <c r="U24" i="24"/>
  <c r="T24" i="24"/>
  <c r="S24" i="24"/>
  <c r="S33" i="24" s="1"/>
  <c r="R24" i="24"/>
  <c r="Q24" i="24"/>
  <c r="P24" i="24"/>
  <c r="O24" i="24"/>
  <c r="N24" i="24"/>
  <c r="N33" i="24" s="1"/>
  <c r="M24" i="24"/>
  <c r="L24" i="24"/>
  <c r="K24" i="24"/>
  <c r="J24" i="24"/>
  <c r="I24" i="24"/>
  <c r="H24" i="24"/>
  <c r="G24" i="24"/>
  <c r="E24" i="24"/>
  <c r="Z23" i="24"/>
  <c r="Y23" i="24"/>
  <c r="X23" i="24"/>
  <c r="W23" i="24"/>
  <c r="V23" i="24"/>
  <c r="U23" i="24"/>
  <c r="T23" i="24"/>
  <c r="S23" i="24"/>
  <c r="R23" i="24"/>
  <c r="Q23" i="24"/>
  <c r="P23" i="24"/>
  <c r="P33" i="24" s="1"/>
  <c r="O23" i="24"/>
  <c r="N23" i="24"/>
  <c r="M23" i="24"/>
  <c r="M33" i="24" s="1"/>
  <c r="M34" i="24" s="1"/>
  <c r="L23" i="24"/>
  <c r="K23" i="24"/>
  <c r="J23" i="24"/>
  <c r="I23" i="24"/>
  <c r="H23" i="24"/>
  <c r="G23" i="24"/>
  <c r="F23" i="24"/>
  <c r="E23" i="24"/>
  <c r="D23" i="24"/>
  <c r="Z22" i="24"/>
  <c r="Y22" i="24"/>
  <c r="X22" i="24"/>
  <c r="X33" i="24" s="1"/>
  <c r="W22" i="24"/>
  <c r="V22" i="24"/>
  <c r="V33" i="24" s="1"/>
  <c r="U22" i="24"/>
  <c r="U33" i="24" s="1"/>
  <c r="T22" i="24"/>
  <c r="S22" i="24"/>
  <c r="R22" i="24"/>
  <c r="Q22" i="24"/>
  <c r="P22" i="24"/>
  <c r="O22" i="24"/>
  <c r="N22" i="24"/>
  <c r="M22" i="24"/>
  <c r="AC21" i="24"/>
  <c r="AC23" i="24" s="1"/>
  <c r="AB21" i="24"/>
  <c r="AB23" i="24" s="1"/>
  <c r="Z21" i="24"/>
  <c r="Y21" i="24"/>
  <c r="Y33" i="24" s="1"/>
  <c r="X21" i="24"/>
  <c r="W21" i="24"/>
  <c r="W33" i="24" s="1"/>
  <c r="V21" i="24"/>
  <c r="U21" i="24"/>
  <c r="T21" i="24"/>
  <c r="T33" i="24" s="1"/>
  <c r="S21" i="24"/>
  <c r="R21" i="24"/>
  <c r="Q21" i="24"/>
  <c r="Q33" i="24" s="1"/>
  <c r="P21" i="24"/>
  <c r="O21" i="24"/>
  <c r="O33" i="24" s="1"/>
  <c r="N21" i="24"/>
  <c r="M21" i="24"/>
  <c r="L21" i="24"/>
  <c r="K21" i="24"/>
  <c r="J21" i="24"/>
  <c r="I21" i="24"/>
  <c r="H21" i="24"/>
  <c r="G21" i="24"/>
  <c r="F21" i="24"/>
  <c r="E21" i="24"/>
  <c r="D21" i="24"/>
  <c r="D10" i="24" s="1"/>
  <c r="D33" i="24" s="1"/>
  <c r="AB17" i="24"/>
  <c r="Z17" i="24"/>
  <c r="Y17" i="24"/>
  <c r="X17" i="24"/>
  <c r="W17" i="24"/>
  <c r="V17" i="24"/>
  <c r="U17" i="24"/>
  <c r="T17" i="24"/>
  <c r="S17" i="24"/>
  <c r="R17" i="24"/>
  <c r="Q17" i="24"/>
  <c r="P17" i="24"/>
  <c r="O17" i="24"/>
  <c r="N17" i="24"/>
  <c r="M17" i="24"/>
  <c r="X16" i="24"/>
  <c r="W16" i="24"/>
  <c r="V16" i="24"/>
  <c r="U16" i="24"/>
  <c r="T16" i="24"/>
  <c r="S16" i="24"/>
  <c r="R16" i="24"/>
  <c r="Q16" i="24"/>
  <c r="O16" i="24"/>
  <c r="K16" i="24"/>
  <c r="J16" i="24"/>
  <c r="Z15" i="24"/>
  <c r="Y15" i="24"/>
  <c r="X15" i="24"/>
  <c r="W15" i="24"/>
  <c r="V15" i="24"/>
  <c r="U15" i="24"/>
  <c r="Z14" i="24"/>
  <c r="Y14" i="24"/>
  <c r="X14" i="24"/>
  <c r="W14" i="24"/>
  <c r="Z13" i="24"/>
  <c r="Y13" i="24"/>
  <c r="X13" i="24"/>
  <c r="W13" i="24"/>
  <c r="V13" i="24"/>
  <c r="U13" i="24"/>
  <c r="T13" i="24"/>
  <c r="S13" i="24"/>
  <c r="R13" i="24"/>
  <c r="Q13" i="24"/>
  <c r="P13" i="24"/>
  <c r="O13" i="24"/>
  <c r="N13" i="24"/>
  <c r="M13" i="24"/>
  <c r="K13" i="24"/>
  <c r="J13" i="24"/>
  <c r="W12" i="24"/>
  <c r="V12" i="24"/>
  <c r="U12" i="24"/>
  <c r="T12" i="24"/>
  <c r="S12" i="24"/>
  <c r="R12" i="24"/>
  <c r="Q12" i="24"/>
  <c r="P12" i="24"/>
  <c r="O12" i="24"/>
  <c r="N12" i="24"/>
  <c r="M12" i="24"/>
  <c r="K12" i="24"/>
  <c r="J12" i="24"/>
  <c r="Z11" i="24"/>
  <c r="Y11" i="24"/>
  <c r="X11" i="24"/>
  <c r="W11" i="24"/>
  <c r="V11" i="24"/>
  <c r="U11" i="24"/>
  <c r="T11" i="24"/>
  <c r="S11" i="24"/>
  <c r="R11" i="24"/>
  <c r="Q11" i="24"/>
  <c r="P11" i="24"/>
  <c r="O11" i="24"/>
  <c r="N11" i="24"/>
  <c r="M11" i="24"/>
  <c r="L11" i="24"/>
  <c r="K11" i="24"/>
  <c r="J11" i="24"/>
  <c r="I11" i="24"/>
  <c r="H11" i="24"/>
  <c r="G11" i="24"/>
  <c r="F11" i="24"/>
  <c r="E11" i="24"/>
  <c r="D11" i="24"/>
  <c r="I10" i="24"/>
  <c r="H10" i="24"/>
  <c r="H33" i="24" s="1"/>
  <c r="G10" i="24"/>
  <c r="F10" i="24"/>
  <c r="F33" i="24" s="1"/>
  <c r="E10" i="24"/>
  <c r="E33" i="24" s="1"/>
  <c r="Z9" i="24"/>
  <c r="Y9" i="24"/>
  <c r="X9" i="24"/>
  <c r="W9" i="24"/>
  <c r="V9" i="24"/>
  <c r="U9" i="24"/>
  <c r="T9" i="24"/>
  <c r="S9" i="24"/>
  <c r="R9" i="24"/>
  <c r="Q9" i="24"/>
  <c r="P9" i="24"/>
  <c r="O9" i="24"/>
  <c r="N9" i="24"/>
  <c r="D7" i="24"/>
  <c r="V39" i="11"/>
  <c r="V34" i="24" l="1"/>
  <c r="V35" i="24"/>
  <c r="V36" i="24" s="1"/>
  <c r="AB38" i="24"/>
  <c r="P34" i="24"/>
  <c r="P35" i="24"/>
  <c r="P36" i="24" s="1"/>
  <c r="G35" i="24"/>
  <c r="F35" i="24"/>
  <c r="X34" i="24"/>
  <c r="X35" i="24"/>
  <c r="X36" i="24" s="1"/>
  <c r="AB71" i="24"/>
  <c r="AC74" i="24" s="1"/>
  <c r="AW110" i="24"/>
  <c r="AV110" i="24"/>
  <c r="AU110" i="24"/>
  <c r="E35" i="24"/>
  <c r="D35" i="24"/>
  <c r="AD71" i="24"/>
  <c r="AE74" i="24" s="1"/>
  <c r="Y35" i="24"/>
  <c r="Y36" i="24" s="1"/>
  <c r="Y34" i="24"/>
  <c r="AD69" i="24"/>
  <c r="AC69" i="24"/>
  <c r="AC71" i="24" s="1"/>
  <c r="AB69" i="24"/>
  <c r="AA71" i="24" s="1"/>
  <c r="AE153" i="24"/>
  <c r="AD153" i="24"/>
  <c r="AC153" i="24"/>
  <c r="U34" i="24"/>
  <c r="U35" i="24"/>
  <c r="U36" i="24" s="1"/>
  <c r="O34" i="24"/>
  <c r="O35" i="24"/>
  <c r="O36" i="24" s="1"/>
  <c r="N34" i="24"/>
  <c r="N35" i="24"/>
  <c r="N36" i="24" s="1"/>
  <c r="AE56" i="24"/>
  <c r="AE57" i="24" s="1"/>
  <c r="AD56" i="24"/>
  <c r="AC56" i="24"/>
  <c r="S35" i="24"/>
  <c r="S36" i="24" s="1"/>
  <c r="S34" i="24"/>
  <c r="Q35" i="24"/>
  <c r="Q36" i="24" s="1"/>
  <c r="Q34" i="24"/>
  <c r="H35" i="24"/>
  <c r="H36" i="24"/>
  <c r="AW104" i="24"/>
  <c r="AV104" i="24"/>
  <c r="AU104" i="24"/>
  <c r="AD57" i="24"/>
  <c r="W34" i="24"/>
  <c r="W35" i="24"/>
  <c r="W36" i="24" s="1"/>
  <c r="T34" i="24"/>
  <c r="T35" i="24"/>
  <c r="T36" i="24" s="1"/>
  <c r="AD98" i="24"/>
  <c r="AD99" i="24" s="1"/>
  <c r="AE101" i="24" s="1"/>
  <c r="AC98" i="24"/>
  <c r="AB98" i="24"/>
  <c r="AC57" i="24"/>
  <c r="R35" i="24"/>
  <c r="R36" i="24" s="1"/>
  <c r="I36" i="24"/>
  <c r="AB91" i="24"/>
  <c r="AC95" i="24"/>
  <c r="AS105" i="24"/>
  <c r="AU107" i="24"/>
  <c r="AV108" i="24"/>
  <c r="AA153" i="24"/>
  <c r="Z35" i="24"/>
  <c r="Z36" i="24" s="1"/>
  <c r="AB95" i="24"/>
  <c r="AC91" i="24"/>
  <c r="AT105" i="24"/>
  <c r="AV107" i="24"/>
  <c r="AW108" i="24"/>
  <c r="D330" i="1"/>
  <c r="E330" i="1" s="1"/>
  <c r="AW109" i="24" l="1"/>
  <c r="AW111" i="24" s="1"/>
  <c r="AV109" i="24"/>
  <c r="AV111" i="24" s="1"/>
  <c r="AW105" i="24"/>
  <c r="AV105" i="24"/>
  <c r="AU105" i="24"/>
  <c r="AU109" i="24" s="1"/>
  <c r="AU111" i="24" s="1"/>
  <c r="AC99" i="24"/>
  <c r="AD101" i="24" s="1"/>
  <c r="AB99" i="24"/>
  <c r="AC101" i="24" s="1"/>
  <c r="D320" i="1"/>
  <c r="E320" i="1" s="1"/>
  <c r="D319" i="1" l="1"/>
  <c r="E319" i="1" s="1"/>
  <c r="D317" i="1"/>
  <c r="E317" i="1" s="1"/>
  <c r="V150" i="11" l="1"/>
  <c r="V151" i="11" s="1"/>
  <c r="B300" i="1"/>
  <c r="C300" i="1" s="1"/>
  <c r="V31" i="11" l="1"/>
  <c r="V36" i="11"/>
  <c r="V43" i="11" l="1"/>
  <c r="V38" i="11"/>
  <c r="V37" i="11"/>
  <c r="V18" i="11"/>
  <c r="V35" i="11" s="1"/>
  <c r="V16" i="11"/>
  <c r="V34" i="11" s="1"/>
  <c r="V32" i="11"/>
  <c r="V11" i="11"/>
  <c r="V30" i="11" s="1"/>
  <c r="V10" i="11"/>
  <c r="V27" i="11" s="1"/>
  <c r="V44" i="11" s="1"/>
  <c r="W46" i="11" l="1"/>
  <c r="W47" i="11" s="1"/>
  <c r="U43" i="11"/>
  <c r="T43" i="11"/>
  <c r="U38" i="11"/>
  <c r="U20" i="11"/>
  <c r="U15" i="11"/>
  <c r="V45" i="11" l="1"/>
  <c r="E290" i="1"/>
  <c r="E293" i="1" s="1"/>
  <c r="Z46" i="22" l="1"/>
  <c r="Y92" i="22"/>
  <c r="X118" i="11" l="1"/>
  <c r="X117" i="11"/>
  <c r="X116" i="11"/>
  <c r="X115" i="11"/>
  <c r="AA115" i="11" s="1"/>
  <c r="X119" i="11"/>
  <c r="W118" i="11"/>
  <c r="W117" i="11"/>
  <c r="W116" i="11"/>
  <c r="Z115" i="11"/>
  <c r="X121" i="11" l="1"/>
  <c r="AC115" i="11"/>
  <c r="AE115" i="11"/>
  <c r="AD115" i="11"/>
  <c r="Y119" i="11"/>
  <c r="Z119" i="11" s="1"/>
  <c r="Y116" i="11"/>
  <c r="Z116" i="11" s="1"/>
  <c r="Y117" i="11"/>
  <c r="Z117" i="11" s="1"/>
  <c r="Y118" i="11"/>
  <c r="Z118" i="11" s="1"/>
  <c r="AA118" i="11" l="1"/>
  <c r="AC118" i="11" s="1"/>
  <c r="AA117" i="11"/>
  <c r="AA116" i="11"/>
  <c r="AA119" i="11"/>
  <c r="AD118" i="11" l="1"/>
  <c r="AE118" i="11"/>
  <c r="AC116" i="11"/>
  <c r="AE116" i="11"/>
  <c r="AD116" i="11"/>
  <c r="AC117" i="11"/>
  <c r="AE117" i="11"/>
  <c r="AD117" i="11"/>
  <c r="AE119" i="11"/>
  <c r="AD119" i="11"/>
  <c r="AC119" i="11"/>
  <c r="A84" i="11" l="1"/>
  <c r="U31" i="11" l="1"/>
  <c r="U37" i="11"/>
  <c r="U36" i="11"/>
  <c r="U18" i="11"/>
  <c r="U35" i="11" s="1"/>
  <c r="U16" i="11"/>
  <c r="U34" i="11" s="1"/>
  <c r="U32" i="11"/>
  <c r="U11" i="11"/>
  <c r="U30" i="11" s="1"/>
  <c r="U10" i="11"/>
  <c r="U27" i="11" s="1"/>
  <c r="T18" i="11"/>
  <c r="U44" i="11" l="1"/>
  <c r="V46" i="11" s="1"/>
  <c r="V47" i="11" s="1"/>
  <c r="U45" i="11" l="1"/>
  <c r="T20" i="11"/>
  <c r="T10" i="11" l="1"/>
  <c r="T27" i="11" s="1"/>
  <c r="T44" i="11" s="1"/>
  <c r="T30" i="11"/>
  <c r="T15" i="11"/>
  <c r="T32" i="11" s="1"/>
  <c r="T16" i="11"/>
  <c r="T34" i="11" s="1"/>
  <c r="T35" i="11"/>
  <c r="T36" i="11"/>
  <c r="T31" i="11"/>
  <c r="T37" i="11"/>
  <c r="U46" i="11" l="1"/>
  <c r="U47" i="11" s="1"/>
  <c r="T45" i="11" l="1"/>
  <c r="X50" i="11" s="1"/>
  <c r="AH35" i="11" l="1"/>
  <c r="AG35" i="11"/>
  <c r="A44" i="12" l="1"/>
  <c r="A45" i="12" s="1"/>
  <c r="A46" i="12" s="1"/>
  <c r="A47" i="12" s="1"/>
  <c r="A48" i="12" s="1"/>
  <c r="A49" i="12" s="1"/>
  <c r="A50" i="12" s="1"/>
  <c r="A51" i="12" s="1"/>
  <c r="A52" i="12" s="1"/>
  <c r="A53" i="12" s="1"/>
  <c r="A54" i="12" s="1"/>
  <c r="A55" i="12" s="1"/>
  <c r="A56" i="12" s="1"/>
  <c r="A57" i="12" s="1"/>
  <c r="A58" i="12" s="1"/>
  <c r="A59" i="12" s="1"/>
  <c r="A60" i="12" s="1"/>
  <c r="A61" i="12" s="1"/>
  <c r="A62" i="12" s="1"/>
  <c r="A63" i="12" s="1"/>
  <c r="A64" i="12" s="1"/>
  <c r="A65" i="12" s="1"/>
  <c r="A66" i="12" s="1"/>
  <c r="A67" i="12" s="1"/>
  <c r="A68" i="12" s="1"/>
  <c r="A69" i="12" s="1"/>
  <c r="A70" i="12" s="1"/>
  <c r="A71" i="12" s="1"/>
  <c r="A72" i="12" s="1"/>
  <c r="A73" i="12" s="1"/>
  <c r="A74" i="12" s="1"/>
  <c r="A75" i="12" s="1"/>
  <c r="A76" i="12" s="1"/>
  <c r="A77" i="12" s="1"/>
  <c r="A78" i="12" s="1"/>
  <c r="A79" i="12" s="1"/>
  <c r="A80" i="12" s="1"/>
  <c r="A81" i="12" s="1"/>
  <c r="A82" i="12" s="1"/>
  <c r="A83" i="12" s="1"/>
  <c r="A84" i="12" s="1"/>
  <c r="A85" i="12" s="1"/>
  <c r="A86" i="12" s="1"/>
  <c r="A87" i="12" s="1"/>
  <c r="A88" i="12" s="1"/>
  <c r="A89" i="12" s="1"/>
  <c r="A90" i="12" s="1"/>
  <c r="A91" i="12" s="1"/>
  <c r="A92" i="12" s="1"/>
  <c r="A93" i="12" s="1"/>
  <c r="A94" i="12" s="1"/>
  <c r="A95" i="12" s="1"/>
  <c r="A96" i="12" s="1"/>
  <c r="A97" i="12" s="1"/>
  <c r="A98" i="12" s="1"/>
  <c r="A99" i="12" s="1"/>
  <c r="A100" i="12" s="1"/>
  <c r="A101" i="12" s="1"/>
  <c r="A102" i="12" s="1"/>
  <c r="A103" i="12" s="1"/>
  <c r="A104" i="12" s="1"/>
  <c r="A105" i="12" s="1"/>
  <c r="A43" i="12"/>
  <c r="AH9" i="11"/>
  <c r="AH10" i="11"/>
  <c r="AH11" i="11"/>
  <c r="AH8" i="11"/>
  <c r="AH7" i="11"/>
  <c r="AH6" i="11"/>
  <c r="AH5" i="11"/>
  <c r="AH12" i="11" l="1"/>
  <c r="AH13" i="11" s="1"/>
  <c r="V146" i="11" l="1"/>
  <c r="W146" i="11" s="1"/>
  <c r="V147" i="11" l="1"/>
  <c r="W147" i="11" l="1"/>
  <c r="W148" i="11" s="1"/>
  <c r="W149" i="11" s="1"/>
  <c r="W150" i="11" s="1"/>
  <c r="W151" i="11" s="1"/>
  <c r="W152" i="11" s="1"/>
  <c r="W153" i="11" s="1"/>
  <c r="W154" i="11" s="1"/>
  <c r="W155" i="11" s="1"/>
  <c r="W156" i="11" s="1"/>
  <c r="W157" i="11" s="1"/>
  <c r="AQ97" i="11"/>
  <c r="AR97" i="11" s="1"/>
  <c r="AT97" i="11" s="1"/>
  <c r="AQ96" i="11"/>
  <c r="AR96" i="11" s="1"/>
  <c r="AS96" i="11" s="1"/>
  <c r="W158" i="11" l="1"/>
  <c r="W159" i="11" s="1"/>
  <c r="W160" i="11" s="1"/>
  <c r="W161" i="11" s="1"/>
  <c r="W162" i="11" s="1"/>
  <c r="AW97" i="11"/>
  <c r="AV97" i="11"/>
  <c r="AU97" i="11"/>
  <c r="AS97" i="11"/>
  <c r="AT96" i="11"/>
  <c r="AQ98" i="11"/>
  <c r="U163" i="11" l="1"/>
  <c r="AR98" i="11"/>
  <c r="AS98" i="11" s="1"/>
  <c r="AW96" i="11"/>
  <c r="AV96" i="11"/>
  <c r="AU96" i="11"/>
  <c r="H18" i="1"/>
  <c r="Z51" i="22"/>
  <c r="W164" i="11" l="1"/>
  <c r="W165" i="11" s="1"/>
  <c r="W166" i="11" s="1"/>
  <c r="W167" i="11" s="1"/>
  <c r="V163" i="11"/>
  <c r="W163" i="11" s="1"/>
  <c r="AW98" i="11"/>
  <c r="AW100" i="11" s="1"/>
  <c r="AV98" i="11"/>
  <c r="AV100" i="11" s="1"/>
  <c r="AU98" i="11"/>
  <c r="AU100" i="11" s="1"/>
  <c r="AW99" i="11"/>
  <c r="AV99" i="11"/>
  <c r="AU99" i="11"/>
  <c r="V70" i="22"/>
  <c r="W46" i="22" l="1"/>
  <c r="W45" i="22"/>
  <c r="W44" i="22"/>
  <c r="W43" i="22"/>
  <c r="AU98" i="22" l="1"/>
  <c r="AS98" i="22"/>
  <c r="AV98" i="22" s="1"/>
  <c r="Z83" i="22"/>
  <c r="Y83" i="22"/>
  <c r="AA83" i="22" s="1"/>
  <c r="X71" i="22"/>
  <c r="X70" i="22"/>
  <c r="X69" i="22"/>
  <c r="V65" i="22"/>
  <c r="X63" i="22"/>
  <c r="Y63" i="22" s="1"/>
  <c r="X62" i="22"/>
  <c r="Y62" i="22" s="1"/>
  <c r="X61" i="22"/>
  <c r="Y61" i="22" s="1"/>
  <c r="X60" i="22"/>
  <c r="X65" i="22" s="1"/>
  <c r="AB59" i="22"/>
  <c r="X50" i="22"/>
  <c r="Z49" i="22"/>
  <c r="AA49" i="22" s="1"/>
  <c r="X49" i="22"/>
  <c r="X48" i="22"/>
  <c r="X47" i="22"/>
  <c r="X46" i="22"/>
  <c r="X45" i="22"/>
  <c r="Z45" i="22" s="1"/>
  <c r="X44" i="22"/>
  <c r="X43" i="22"/>
  <c r="Y29" i="22"/>
  <c r="X29" i="22"/>
  <c r="W29" i="22"/>
  <c r="V29" i="22"/>
  <c r="U29" i="22"/>
  <c r="Y28" i="22"/>
  <c r="X28" i="22"/>
  <c r="W28" i="22"/>
  <c r="V28" i="22"/>
  <c r="U28" i="22"/>
  <c r="AB26" i="22"/>
  <c r="AB27" i="22" s="1"/>
  <c r="AB28" i="22" s="1"/>
  <c r="AB25" i="22"/>
  <c r="Y25" i="22"/>
  <c r="X25" i="22"/>
  <c r="W25" i="22"/>
  <c r="V25" i="22"/>
  <c r="U25" i="22"/>
  <c r="T25" i="22"/>
  <c r="S25" i="22"/>
  <c r="R25" i="22"/>
  <c r="Q25" i="22"/>
  <c r="P25" i="22"/>
  <c r="P22" i="22"/>
  <c r="N22" i="22"/>
  <c r="M22" i="22"/>
  <c r="L22" i="22"/>
  <c r="I22" i="22"/>
  <c r="Y21" i="22"/>
  <c r="Y20" i="22"/>
  <c r="W20" i="22"/>
  <c r="U20" i="22"/>
  <c r="S20" i="22"/>
  <c r="Q20" i="22"/>
  <c r="O20" i="22"/>
  <c r="M20" i="22"/>
  <c r="L20" i="22"/>
  <c r="K20" i="22"/>
  <c r="J20" i="22"/>
  <c r="I20" i="22"/>
  <c r="H20" i="22"/>
  <c r="G20" i="22"/>
  <c r="E20" i="22"/>
  <c r="Y19" i="22"/>
  <c r="W19" i="22"/>
  <c r="Q19" i="22"/>
  <c r="O19" i="22"/>
  <c r="L19" i="22"/>
  <c r="K19" i="22"/>
  <c r="K12" i="22" s="1"/>
  <c r="J19" i="22"/>
  <c r="I19" i="22"/>
  <c r="H19" i="22"/>
  <c r="G19" i="22"/>
  <c r="F19" i="22"/>
  <c r="E19" i="22"/>
  <c r="D19" i="22"/>
  <c r="Y18" i="22"/>
  <c r="W18" i="22"/>
  <c r="U18" i="22"/>
  <c r="S18" i="22"/>
  <c r="Q18" i="22"/>
  <c r="O18" i="22"/>
  <c r="M18" i="22"/>
  <c r="T17" i="22"/>
  <c r="M17" i="22"/>
  <c r="M32" i="22" s="1"/>
  <c r="M33" i="22" s="1"/>
  <c r="L17" i="22"/>
  <c r="L32" i="22" s="1"/>
  <c r="K17" i="22"/>
  <c r="K32" i="22" s="1"/>
  <c r="K34" i="22" s="1"/>
  <c r="K35" i="22" s="1"/>
  <c r="J17" i="22"/>
  <c r="J32" i="22" s="1"/>
  <c r="I17" i="22"/>
  <c r="H17" i="22"/>
  <c r="G17" i="22"/>
  <c r="F17" i="22"/>
  <c r="F10" i="22" s="1"/>
  <c r="F32" i="22" s="1"/>
  <c r="E17" i="22"/>
  <c r="D17" i="22"/>
  <c r="D10" i="22" s="1"/>
  <c r="D32" i="22" s="1"/>
  <c r="AB16" i="22"/>
  <c r="AC17" i="22" s="1"/>
  <c r="AC19" i="22" s="1"/>
  <c r="Y16" i="22"/>
  <c r="Y23" i="22" s="1"/>
  <c r="X16" i="22"/>
  <c r="X23" i="22" s="1"/>
  <c r="W16" i="22"/>
  <c r="W23" i="22" s="1"/>
  <c r="V16" i="22"/>
  <c r="V23" i="22" s="1"/>
  <c r="U16" i="22"/>
  <c r="U23" i="22" s="1"/>
  <c r="T16" i="22"/>
  <c r="T23" i="22" s="1"/>
  <c r="S16" i="22"/>
  <c r="S23" i="22" s="1"/>
  <c r="R16" i="22"/>
  <c r="R23" i="22" s="1"/>
  <c r="Q16" i="22"/>
  <c r="Q23" i="22" s="1"/>
  <c r="P16" i="22"/>
  <c r="P23" i="22" s="1"/>
  <c r="O16" i="22"/>
  <c r="O23" i="22" s="1"/>
  <c r="N16" i="22"/>
  <c r="N23" i="22" s="1"/>
  <c r="M16" i="22"/>
  <c r="M23" i="22" s="1"/>
  <c r="Y15" i="22"/>
  <c r="Y22" i="22" s="1"/>
  <c r="X15" i="22"/>
  <c r="X22" i="22" s="1"/>
  <c r="W15" i="22"/>
  <c r="W22" i="22" s="1"/>
  <c r="V15" i="22"/>
  <c r="V22" i="22" s="1"/>
  <c r="U15" i="22"/>
  <c r="U22" i="22" s="1"/>
  <c r="T15" i="22"/>
  <c r="T22" i="22" s="1"/>
  <c r="S15" i="22"/>
  <c r="S22" i="22" s="1"/>
  <c r="R15" i="22"/>
  <c r="R22" i="22" s="1"/>
  <c r="Q15" i="22"/>
  <c r="Q22" i="22" s="1"/>
  <c r="O15" i="22"/>
  <c r="O22" i="22" s="1"/>
  <c r="K15" i="22"/>
  <c r="J15" i="22"/>
  <c r="Y14" i="22"/>
  <c r="X14" i="22"/>
  <c r="X21" i="22" s="1"/>
  <c r="Y13" i="22"/>
  <c r="X13" i="22"/>
  <c r="X20" i="22" s="1"/>
  <c r="W13" i="22"/>
  <c r="V13" i="22"/>
  <c r="V20" i="22" s="1"/>
  <c r="U13" i="22"/>
  <c r="T13" i="22"/>
  <c r="T20" i="22" s="1"/>
  <c r="S13" i="22"/>
  <c r="R13" i="22"/>
  <c r="R20" i="22" s="1"/>
  <c r="Q13" i="22"/>
  <c r="P13" i="22"/>
  <c r="P20" i="22" s="1"/>
  <c r="O13" i="22"/>
  <c r="N13" i="22"/>
  <c r="N20" i="22" s="1"/>
  <c r="M13" i="22"/>
  <c r="K13" i="22"/>
  <c r="J13" i="22"/>
  <c r="Y12" i="22"/>
  <c r="X12" i="22"/>
  <c r="X19" i="22" s="1"/>
  <c r="W12" i="22"/>
  <c r="V12" i="22"/>
  <c r="V19" i="22" s="1"/>
  <c r="U12" i="22"/>
  <c r="U19" i="22" s="1"/>
  <c r="T12" i="22"/>
  <c r="T19" i="22" s="1"/>
  <c r="S12" i="22"/>
  <c r="S19" i="22" s="1"/>
  <c r="R12" i="22"/>
  <c r="R19" i="22" s="1"/>
  <c r="Q12" i="22"/>
  <c r="P12" i="22"/>
  <c r="P19" i="22" s="1"/>
  <c r="O12" i="22"/>
  <c r="N12" i="22"/>
  <c r="N19" i="22" s="1"/>
  <c r="M12" i="22"/>
  <c r="M19" i="22" s="1"/>
  <c r="J12" i="22"/>
  <c r="Y11" i="22"/>
  <c r="X11" i="22"/>
  <c r="X18" i="22" s="1"/>
  <c r="W11" i="22"/>
  <c r="V11" i="22"/>
  <c r="V18" i="22" s="1"/>
  <c r="U11" i="22"/>
  <c r="T11" i="22"/>
  <c r="T18" i="22" s="1"/>
  <c r="S11" i="22"/>
  <c r="R11" i="22"/>
  <c r="R18" i="22" s="1"/>
  <c r="Q11" i="22"/>
  <c r="P11" i="22"/>
  <c r="P18" i="22" s="1"/>
  <c r="O11" i="22"/>
  <c r="N11" i="22"/>
  <c r="N18" i="22" s="1"/>
  <c r="M11" i="22"/>
  <c r="L11" i="22"/>
  <c r="K11" i="22"/>
  <c r="J11" i="22"/>
  <c r="I11" i="22"/>
  <c r="H11" i="22"/>
  <c r="G11" i="22"/>
  <c r="F11" i="22"/>
  <c r="E11" i="22"/>
  <c r="D11" i="22"/>
  <c r="I10" i="22"/>
  <c r="I32" i="22" s="1"/>
  <c r="H10" i="22"/>
  <c r="H32" i="22" s="1"/>
  <c r="G10" i="22"/>
  <c r="G32" i="22" s="1"/>
  <c r="G34" i="22" s="1"/>
  <c r="E10" i="22"/>
  <c r="E32" i="22" s="1"/>
  <c r="Y9" i="22"/>
  <c r="Y17" i="22" s="1"/>
  <c r="X9" i="22"/>
  <c r="X17" i="22" s="1"/>
  <c r="W9" i="22"/>
  <c r="W17" i="22" s="1"/>
  <c r="V9" i="22"/>
  <c r="V17" i="22" s="1"/>
  <c r="V32" i="22" s="1"/>
  <c r="U9" i="22"/>
  <c r="U17" i="22" s="1"/>
  <c r="T9" i="22"/>
  <c r="S9" i="22"/>
  <c r="S17" i="22" s="1"/>
  <c r="S32" i="22" s="1"/>
  <c r="R9" i="22"/>
  <c r="R17" i="22" s="1"/>
  <c r="R32" i="22" s="1"/>
  <c r="Q9" i="22"/>
  <c r="Q17" i="22" s="1"/>
  <c r="P9" i="22"/>
  <c r="P17" i="22" s="1"/>
  <c r="O9" i="22"/>
  <c r="O17" i="22" s="1"/>
  <c r="O32" i="22" s="1"/>
  <c r="N9" i="22"/>
  <c r="N17" i="22" s="1"/>
  <c r="N32" i="22" s="1"/>
  <c r="D7" i="22"/>
  <c r="X51" i="22" l="1"/>
  <c r="AC26" i="22" s="1"/>
  <c r="AC27" i="22" s="1"/>
  <c r="AC28" i="22" s="1"/>
  <c r="Z43" i="22"/>
  <c r="AC43" i="22" s="1"/>
  <c r="AB43" i="22"/>
  <c r="E34" i="22"/>
  <c r="D34" i="22"/>
  <c r="Z63" i="22"/>
  <c r="S33" i="22"/>
  <c r="S34" i="22"/>
  <c r="S35" i="22" s="1"/>
  <c r="R33" i="22"/>
  <c r="R34" i="22"/>
  <c r="R35" i="22" s="1"/>
  <c r="H35" i="22"/>
  <c r="H34" i="22"/>
  <c r="AC45" i="22"/>
  <c r="AB45" i="22"/>
  <c r="AA45" i="22"/>
  <c r="Z50" i="22"/>
  <c r="U32" i="22"/>
  <c r="I35" i="22"/>
  <c r="I34" i="22"/>
  <c r="L33" i="22"/>
  <c r="L34" i="22"/>
  <c r="L35" i="22" s="1"/>
  <c r="N34" i="22"/>
  <c r="N35" i="22" s="1"/>
  <c r="N33" i="22"/>
  <c r="O34" i="22"/>
  <c r="O35" i="22" s="1"/>
  <c r="O33" i="22"/>
  <c r="W32" i="22"/>
  <c r="F34" i="22"/>
  <c r="T32" i="22"/>
  <c r="V34" i="22"/>
  <c r="V35" i="22" s="1"/>
  <c r="V33" i="22"/>
  <c r="P32" i="22"/>
  <c r="X32" i="22"/>
  <c r="Z61" i="22"/>
  <c r="Q32" i="22"/>
  <c r="Y32" i="22"/>
  <c r="Z62" i="22"/>
  <c r="Z47" i="22"/>
  <c r="AB49" i="22"/>
  <c r="AC59" i="22"/>
  <c r="AC49" i="22"/>
  <c r="AD59" i="22"/>
  <c r="Y60" i="22"/>
  <c r="AB17" i="22"/>
  <c r="AB19" i="22" s="1"/>
  <c r="AA43" i="22"/>
  <c r="AT98" i="22"/>
  <c r="AA62" i="22" l="1"/>
  <c r="X34" i="22"/>
  <c r="X35" i="22" s="1"/>
  <c r="X33" i="22"/>
  <c r="U34" i="22"/>
  <c r="U35" i="22" s="1"/>
  <c r="U33" i="22"/>
  <c r="AC46" i="22"/>
  <c r="AB46" i="22"/>
  <c r="AA46" i="22"/>
  <c r="P34" i="22"/>
  <c r="P35" i="22" s="1"/>
  <c r="P33" i="22"/>
  <c r="AB50" i="22"/>
  <c r="AA50" i="22"/>
  <c r="AC50" i="22"/>
  <c r="AB32" i="22"/>
  <c r="Y33" i="22"/>
  <c r="Y34" i="22"/>
  <c r="Y35" i="22" s="1"/>
  <c r="Q33" i="22"/>
  <c r="Q34" i="22"/>
  <c r="Q35" i="22" s="1"/>
  <c r="T33" i="22"/>
  <c r="T34" i="22"/>
  <c r="T35" i="22" s="1"/>
  <c r="AA63" i="22"/>
  <c r="Y65" i="22"/>
  <c r="Z60" i="22"/>
  <c r="AA61" i="22"/>
  <c r="Z44" i="22"/>
  <c r="Y51" i="22"/>
  <c r="AC47" i="22"/>
  <c r="AB47" i="22"/>
  <c r="AA47" i="22"/>
  <c r="Z48" i="22"/>
  <c r="W34" i="22"/>
  <c r="W35" i="22" s="1"/>
  <c r="W33" i="22"/>
  <c r="AC44" i="22" l="1"/>
  <c r="AB44" i="22"/>
  <c r="AA44" i="22"/>
  <c r="Z65" i="22"/>
  <c r="AC48" i="22"/>
  <c r="AB48" i="22"/>
  <c r="AA48" i="22"/>
  <c r="Y67" i="22"/>
  <c r="AE66" i="22"/>
  <c r="AC66" i="22"/>
  <c r="AB62" i="22"/>
  <c r="AD62" i="22"/>
  <c r="AC62" i="22"/>
  <c r="AA60" i="22"/>
  <c r="AB61" i="22"/>
  <c r="AD61" i="22"/>
  <c r="AC61" i="22"/>
  <c r="AB63" i="22"/>
  <c r="AD63" i="22"/>
  <c r="AC63" i="22"/>
  <c r="AA52" i="22"/>
  <c r="AC52" i="22"/>
  <c r="AB52" i="22"/>
  <c r="AA51" i="22" l="1"/>
  <c r="AA53" i="22" s="1"/>
  <c r="AB60" i="22"/>
  <c r="AD60" i="22"/>
  <c r="AE65" i="22" s="1"/>
  <c r="AE68" i="22" s="1"/>
  <c r="AC60" i="22"/>
  <c r="AB51" i="22"/>
  <c r="AB53" i="22" s="1"/>
  <c r="AC51" i="22"/>
  <c r="AC53" i="22" s="1"/>
  <c r="D8" i="21"/>
  <c r="D7" i="21"/>
  <c r="D3" i="21"/>
  <c r="D2" i="21"/>
  <c r="D11" i="21" s="1"/>
  <c r="F149" i="20"/>
  <c r="H146" i="20"/>
  <c r="H145" i="20"/>
  <c r="H149" i="20" s="1"/>
  <c r="H131" i="20"/>
  <c r="H130" i="20"/>
  <c r="B113" i="20"/>
  <c r="H70" i="20"/>
  <c r="F69" i="20"/>
  <c r="D69" i="20"/>
  <c r="D70" i="20" s="1"/>
  <c r="D71" i="20" s="1"/>
  <c r="D72" i="20" s="1"/>
  <c r="D73" i="20" s="1"/>
  <c r="D74" i="20" s="1"/>
  <c r="D75" i="20" s="1"/>
  <c r="D76" i="20" s="1"/>
  <c r="D77" i="20" s="1"/>
  <c r="D78" i="20" s="1"/>
  <c r="D79" i="20" s="1"/>
  <c r="D80" i="20" s="1"/>
  <c r="D81" i="20" s="1"/>
  <c r="D82" i="20" s="1"/>
  <c r="D63" i="20"/>
  <c r="D64" i="20" s="1"/>
  <c r="D65" i="20" s="1"/>
  <c r="G60" i="20"/>
  <c r="G61" i="20" s="1"/>
  <c r="G63" i="20" s="1"/>
  <c r="H22" i="20"/>
  <c r="H25" i="20" s="1"/>
  <c r="H17" i="20"/>
  <c r="H18" i="20" s="1"/>
  <c r="E16" i="20"/>
  <c r="D10" i="20"/>
  <c r="D11" i="20" s="1"/>
  <c r="D12" i="20" s="1"/>
  <c r="D13" i="20" s="1"/>
  <c r="D14" i="20" s="1"/>
  <c r="D15" i="20" s="1"/>
  <c r="D16" i="20" s="1"/>
  <c r="D17" i="20" s="1"/>
  <c r="D18" i="20" s="1"/>
  <c r="D19" i="20" s="1"/>
  <c r="D20" i="20" s="1"/>
  <c r="D21" i="20" s="1"/>
  <c r="D22" i="20" s="1"/>
  <c r="D23" i="20" s="1"/>
  <c r="D24" i="20" s="1"/>
  <c r="B7" i="20"/>
  <c r="B6" i="20"/>
  <c r="B4" i="20"/>
  <c r="B150" i="19"/>
  <c r="F149" i="19"/>
  <c r="H146" i="19"/>
  <c r="H145" i="19"/>
  <c r="H149" i="19" s="1"/>
  <c r="F134" i="19"/>
  <c r="F132" i="19"/>
  <c r="H131" i="19"/>
  <c r="H130" i="19"/>
  <c r="B102" i="19"/>
  <c r="B153" i="19" s="1"/>
  <c r="D97" i="19"/>
  <c r="D98" i="19" s="1"/>
  <c r="D99" i="19" s="1"/>
  <c r="D100" i="19" s="1"/>
  <c r="D101" i="19" s="1"/>
  <c r="D102" i="19" s="1"/>
  <c r="D103" i="19" s="1"/>
  <c r="D104" i="19" s="1"/>
  <c r="D105" i="19" s="1"/>
  <c r="D106" i="19" s="1"/>
  <c r="D107" i="19" s="1"/>
  <c r="D108" i="19" s="1"/>
  <c r="D109" i="19" s="1"/>
  <c r="D110" i="19" s="1"/>
  <c r="D111" i="19" s="1"/>
  <c r="D112" i="19" s="1"/>
  <c r="D113" i="19" s="1"/>
  <c r="D114" i="19" s="1"/>
  <c r="D115" i="19" s="1"/>
  <c r="D116" i="19" s="1"/>
  <c r="D117" i="19" s="1"/>
  <c r="D118" i="19" s="1"/>
  <c r="D119" i="19" s="1"/>
  <c r="D120" i="19" s="1"/>
  <c r="D121" i="19" s="1"/>
  <c r="D122" i="19" s="1"/>
  <c r="D123" i="19" s="1"/>
  <c r="D124" i="19" s="1"/>
  <c r="D125" i="19" s="1"/>
  <c r="D126" i="19" s="1"/>
  <c r="D127" i="19" s="1"/>
  <c r="D128" i="19" s="1"/>
  <c r="D129" i="19" s="1"/>
  <c r="D130" i="19" s="1"/>
  <c r="D131" i="19" s="1"/>
  <c r="D132" i="19" s="1"/>
  <c r="D133" i="19" s="1"/>
  <c r="D134" i="19" s="1"/>
  <c r="D135" i="19" s="1"/>
  <c r="D136" i="19" s="1"/>
  <c r="D137" i="19" s="1"/>
  <c r="D138" i="19" s="1"/>
  <c r="D139" i="19" s="1"/>
  <c r="D140" i="19" s="1"/>
  <c r="D141" i="19" s="1"/>
  <c r="D142" i="19" s="1"/>
  <c r="D143" i="19" s="1"/>
  <c r="D144" i="19" s="1"/>
  <c r="D145" i="19" s="1"/>
  <c r="D146" i="19" s="1"/>
  <c r="D147" i="19" s="1"/>
  <c r="D148" i="19" s="1"/>
  <c r="D94" i="19"/>
  <c r="H70" i="19"/>
  <c r="F69" i="19"/>
  <c r="G60" i="19"/>
  <c r="G61" i="19" s="1"/>
  <c r="G63" i="19" s="1"/>
  <c r="H22" i="19"/>
  <c r="H25" i="19" s="1"/>
  <c r="H17" i="19"/>
  <c r="H18" i="19" s="1"/>
  <c r="E16" i="19"/>
  <c r="B15" i="19"/>
  <c r="D10" i="19"/>
  <c r="D11" i="19" s="1"/>
  <c r="D12" i="19" s="1"/>
  <c r="D13" i="19" s="1"/>
  <c r="D14" i="19" s="1"/>
  <c r="D15" i="19" s="1"/>
  <c r="D16" i="19" s="1"/>
  <c r="D17" i="19" s="1"/>
  <c r="D18" i="19" s="1"/>
  <c r="D19" i="19" s="1"/>
  <c r="D20" i="19" s="1"/>
  <c r="D21" i="19" s="1"/>
  <c r="D22" i="19" s="1"/>
  <c r="D23" i="19" s="1"/>
  <c r="D24" i="19" s="1"/>
  <c r="D25" i="19" s="1"/>
  <c r="D26" i="19" s="1"/>
  <c r="D27" i="19" s="1"/>
  <c r="D28" i="19" s="1"/>
  <c r="D29" i="19" s="1"/>
  <c r="D30" i="19" s="1"/>
  <c r="D31" i="19" s="1"/>
  <c r="D32" i="19" s="1"/>
  <c r="D33" i="19" s="1"/>
  <c r="D34" i="19" s="1"/>
  <c r="D35" i="19" s="1"/>
  <c r="D36" i="19" s="1"/>
  <c r="D37" i="19" s="1"/>
  <c r="D38" i="19" s="1"/>
  <c r="D39" i="19" s="1"/>
  <c r="D40" i="19" s="1"/>
  <c r="D41" i="19" s="1"/>
  <c r="D42" i="19" s="1"/>
  <c r="D43" i="19" s="1"/>
  <c r="D44" i="19" s="1"/>
  <c r="D45" i="19" s="1"/>
  <c r="D46" i="19" s="1"/>
  <c r="D47" i="19" s="1"/>
  <c r="D48" i="19" s="1"/>
  <c r="D49" i="19" s="1"/>
  <c r="D50" i="19" s="1"/>
  <c r="D51" i="19" s="1"/>
  <c r="D52" i="19" s="1"/>
  <c r="D53" i="19" s="1"/>
  <c r="D54" i="19" s="1"/>
  <c r="D55" i="19" s="1"/>
  <c r="D56" i="19" s="1"/>
  <c r="D57" i="19" s="1"/>
  <c r="D58" i="19" s="1"/>
  <c r="D59" i="19" s="1"/>
  <c r="D60" i="19" s="1"/>
  <c r="D61" i="19" s="1"/>
  <c r="D62" i="19" s="1"/>
  <c r="D63" i="19" s="1"/>
  <c r="D64" i="19" s="1"/>
  <c r="B4" i="19"/>
  <c r="D7" i="19" s="1"/>
  <c r="B125" i="18"/>
  <c r="B123" i="18"/>
  <c r="B121" i="18"/>
  <c r="B120" i="18"/>
  <c r="B119" i="18"/>
  <c r="B109" i="18"/>
  <c r="B105" i="18"/>
  <c r="B97" i="18"/>
  <c r="B87" i="18"/>
  <c r="E127" i="18" s="1"/>
  <c r="B62" i="18"/>
  <c r="F45" i="18"/>
  <c r="H22" i="18"/>
  <c r="H21" i="18"/>
  <c r="K18" i="18"/>
  <c r="H16" i="18"/>
  <c r="H17" i="18" s="1"/>
  <c r="D9" i="18"/>
  <c r="D10" i="18" s="1"/>
  <c r="D11" i="18" s="1"/>
  <c r="D12" i="18" s="1"/>
  <c r="D13" i="18" s="1"/>
  <c r="D14" i="18" s="1"/>
  <c r="D15" i="18" s="1"/>
  <c r="D16" i="18" s="1"/>
  <c r="D17" i="18" s="1"/>
  <c r="D18" i="18" s="1"/>
  <c r="D19" i="18" s="1"/>
  <c r="D20" i="18" s="1"/>
  <c r="D21" i="18" s="1"/>
  <c r="D22" i="18" s="1"/>
  <c r="D23" i="18" s="1"/>
  <c r="D24" i="18" s="1"/>
  <c r="D25" i="18" s="1"/>
  <c r="D26" i="18" s="1"/>
  <c r="D27" i="18" s="1"/>
  <c r="D28" i="18" s="1"/>
  <c r="D29" i="18" s="1"/>
  <c r="D30" i="18" s="1"/>
  <c r="D31" i="18" s="1"/>
  <c r="D32" i="18" s="1"/>
  <c r="D33" i="18" s="1"/>
  <c r="D34" i="18" s="1"/>
  <c r="D35" i="18" s="1"/>
  <c r="D36" i="18" s="1"/>
  <c r="D37" i="18" s="1"/>
  <c r="D38" i="18" s="1"/>
  <c r="D39" i="18" s="1"/>
  <c r="D40" i="18" s="1"/>
  <c r="D41" i="18" s="1"/>
  <c r="D42" i="18" s="1"/>
  <c r="D43" i="18" s="1"/>
  <c r="D44" i="18" s="1"/>
  <c r="D45" i="18" s="1"/>
  <c r="D46" i="18" s="1"/>
  <c r="D47" i="18" s="1"/>
  <c r="D48" i="18" s="1"/>
  <c r="D49" i="18" s="1"/>
  <c r="D50" i="18" s="1"/>
  <c r="D51" i="18" s="1"/>
  <c r="D52" i="18" s="1"/>
  <c r="D53" i="18" s="1"/>
  <c r="D54" i="18" s="1"/>
  <c r="D55" i="18" s="1"/>
  <c r="D56" i="18" s="1"/>
  <c r="D57" i="18" s="1"/>
  <c r="D58" i="18" s="1"/>
  <c r="D59" i="18" s="1"/>
  <c r="D60" i="18" s="1"/>
  <c r="D61" i="18" s="1"/>
  <c r="D62" i="18" s="1"/>
  <c r="D63" i="18" s="1"/>
  <c r="D64" i="18" s="1"/>
  <c r="D65" i="18" s="1"/>
  <c r="D66" i="18" s="1"/>
  <c r="D67" i="18" s="1"/>
  <c r="D68" i="18" s="1"/>
  <c r="D69" i="18" s="1"/>
  <c r="D70" i="18" s="1"/>
  <c r="D71" i="18" s="1"/>
  <c r="D72" i="18" s="1"/>
  <c r="D73" i="18" s="1"/>
  <c r="D74" i="18" s="1"/>
  <c r="D75" i="18" s="1"/>
  <c r="D76" i="18" s="1"/>
  <c r="D77" i="18" s="1"/>
  <c r="D78" i="18" s="1"/>
  <c r="D79" i="18" s="1"/>
  <c r="D80" i="18" s="1"/>
  <c r="D81" i="18" s="1"/>
  <c r="D82" i="18" s="1"/>
  <c r="D83" i="18" s="1"/>
  <c r="D84" i="18" s="1"/>
  <c r="D85" i="18" s="1"/>
  <c r="D86" i="18" s="1"/>
  <c r="D87" i="18" s="1"/>
  <c r="D88" i="18" s="1"/>
  <c r="D89" i="18" s="1"/>
  <c r="D90" i="18" s="1"/>
  <c r="D91" i="18" s="1"/>
  <c r="D92" i="18" s="1"/>
  <c r="D93" i="18" s="1"/>
  <c r="D94" i="18" s="1"/>
  <c r="D95" i="18" s="1"/>
  <c r="D96" i="18" s="1"/>
  <c r="D97" i="18" s="1"/>
  <c r="D98" i="18" s="1"/>
  <c r="D99" i="18" s="1"/>
  <c r="D100" i="18" s="1"/>
  <c r="D101" i="18" s="1"/>
  <c r="D102" i="18" s="1"/>
  <c r="D103" i="18" s="1"/>
  <c r="D104" i="18" s="1"/>
  <c r="D105" i="18" s="1"/>
  <c r="D106" i="18" s="1"/>
  <c r="D107" i="18" s="1"/>
  <c r="D108" i="18" s="1"/>
  <c r="D109" i="18" s="1"/>
  <c r="D110" i="18" s="1"/>
  <c r="D111" i="18" s="1"/>
  <c r="D112" i="18" s="1"/>
  <c r="D113" i="18" s="1"/>
  <c r="D114" i="18" s="1"/>
  <c r="D115" i="18" s="1"/>
  <c r="D116" i="18" s="1"/>
  <c r="D117" i="18" s="1"/>
  <c r="D118" i="18" s="1"/>
  <c r="D119" i="18" s="1"/>
  <c r="D120" i="18" s="1"/>
  <c r="D121" i="18" s="1"/>
  <c r="D122" i="18" s="1"/>
  <c r="D123" i="18" s="1"/>
  <c r="D124" i="18" s="1"/>
  <c r="D125" i="18" s="1"/>
  <c r="D126" i="18" s="1"/>
  <c r="D127" i="18" s="1"/>
  <c r="B7" i="18"/>
  <c r="K3" i="18"/>
  <c r="K9" i="18" s="1"/>
  <c r="B154" i="17"/>
  <c r="B176" i="17" s="1"/>
  <c r="F149" i="17"/>
  <c r="H146" i="17"/>
  <c r="H145" i="17"/>
  <c r="H149" i="17" s="1"/>
  <c r="H131" i="17"/>
  <c r="H130" i="17"/>
  <c r="H70" i="17"/>
  <c r="B63" i="17"/>
  <c r="F69" i="17" s="1"/>
  <c r="G60" i="17"/>
  <c r="G61" i="17" s="1"/>
  <c r="G63" i="17" s="1"/>
  <c r="G29" i="17"/>
  <c r="G41" i="17" s="1"/>
  <c r="H22" i="17"/>
  <c r="H25" i="17" s="1"/>
  <c r="H17" i="17"/>
  <c r="H18" i="17" s="1"/>
  <c r="E16" i="17"/>
  <c r="D8" i="17"/>
  <c r="D9" i="17" s="1"/>
  <c r="D10" i="17" s="1"/>
  <c r="D11" i="17" s="1"/>
  <c r="D12" i="17" s="1"/>
  <c r="D13" i="17" s="1"/>
  <c r="D14" i="17" s="1"/>
  <c r="D15" i="17" s="1"/>
  <c r="D16" i="17" s="1"/>
  <c r="D17" i="17" s="1"/>
  <c r="D18" i="17" s="1"/>
  <c r="D19" i="17" s="1"/>
  <c r="D20" i="17" s="1"/>
  <c r="D21" i="17" s="1"/>
  <c r="D22" i="17" s="1"/>
  <c r="B5" i="17"/>
  <c r="F149" i="16"/>
  <c r="H146" i="16"/>
  <c r="H145" i="16"/>
  <c r="H149" i="16" s="1"/>
  <c r="H131" i="16"/>
  <c r="H130" i="16"/>
  <c r="H70" i="16"/>
  <c r="G60" i="16"/>
  <c r="G61" i="16" s="1"/>
  <c r="G63" i="16" s="1"/>
  <c r="G29" i="16"/>
  <c r="G41" i="16" s="1"/>
  <c r="H22" i="16"/>
  <c r="H25" i="16" s="1"/>
  <c r="H17" i="16"/>
  <c r="H18" i="16" s="1"/>
  <c r="B17" i="16"/>
  <c r="E16" i="16"/>
  <c r="B16" i="16"/>
  <c r="B50" i="16" s="1"/>
  <c r="F69" i="16" s="1"/>
  <c r="D8" i="16"/>
  <c r="D9" i="16" s="1"/>
  <c r="D10" i="16" s="1"/>
  <c r="D11" i="16" s="1"/>
  <c r="D12" i="16" s="1"/>
  <c r="D13" i="16" s="1"/>
  <c r="D14" i="16" s="1"/>
  <c r="D15" i="16" s="1"/>
  <c r="D16" i="16" s="1"/>
  <c r="D17" i="16" s="1"/>
  <c r="D18" i="16" s="1"/>
  <c r="D19" i="16" s="1"/>
  <c r="D20" i="16" s="1"/>
  <c r="D21" i="16" s="1"/>
  <c r="D22" i="16" s="1"/>
  <c r="F182" i="15"/>
  <c r="H179" i="15"/>
  <c r="H178" i="15"/>
  <c r="H182" i="15" s="1"/>
  <c r="H164" i="15"/>
  <c r="H163" i="15"/>
  <c r="B115" i="15"/>
  <c r="H103" i="15"/>
  <c r="G93" i="15"/>
  <c r="G94" i="15" s="1"/>
  <c r="G96" i="15" s="1"/>
  <c r="D70" i="15"/>
  <c r="D71" i="15" s="1"/>
  <c r="D72" i="15" s="1"/>
  <c r="D73" i="15" s="1"/>
  <c r="D74" i="15" s="1"/>
  <c r="D75" i="15" s="1"/>
  <c r="D76" i="15" s="1"/>
  <c r="D77" i="15" s="1"/>
  <c r="D78" i="15" s="1"/>
  <c r="D79" i="15" s="1"/>
  <c r="D80" i="15" s="1"/>
  <c r="D81" i="15" s="1"/>
  <c r="D82" i="15" s="1"/>
  <c r="D83" i="15" s="1"/>
  <c r="D84" i="15" s="1"/>
  <c r="D85" i="15" s="1"/>
  <c r="D86" i="15" s="1"/>
  <c r="D87" i="15" s="1"/>
  <c r="D88" i="15" s="1"/>
  <c r="D89" i="15" s="1"/>
  <c r="D90" i="15" s="1"/>
  <c r="D91" i="15" s="1"/>
  <c r="D92" i="15" s="1"/>
  <c r="D93" i="15" s="1"/>
  <c r="D94" i="15" s="1"/>
  <c r="D95" i="15" s="1"/>
  <c r="D96" i="15" s="1"/>
  <c r="D97" i="15" s="1"/>
  <c r="D98" i="15" s="1"/>
  <c r="D99" i="15" s="1"/>
  <c r="D100" i="15" s="1"/>
  <c r="D101" i="15" s="1"/>
  <c r="D102" i="15" s="1"/>
  <c r="D103" i="15" s="1"/>
  <c r="D104" i="15" s="1"/>
  <c r="D105" i="15" s="1"/>
  <c r="D106" i="15" s="1"/>
  <c r="D107" i="15" s="1"/>
  <c r="D108" i="15" s="1"/>
  <c r="D109" i="15" s="1"/>
  <c r="D110" i="15" s="1"/>
  <c r="D111" i="15" s="1"/>
  <c r="D112" i="15" s="1"/>
  <c r="D113" i="15" s="1"/>
  <c r="D114" i="15" s="1"/>
  <c r="D115" i="15" s="1"/>
  <c r="D116" i="15" s="1"/>
  <c r="D117" i="15" s="1"/>
  <c r="D118" i="15" s="1"/>
  <c r="B54" i="15"/>
  <c r="F102" i="15" s="1"/>
  <c r="G29" i="15"/>
  <c r="G74" i="15" s="1"/>
  <c r="H22" i="15"/>
  <c r="H25" i="15" s="1"/>
  <c r="H17" i="15"/>
  <c r="H18" i="15" s="1"/>
  <c r="E16" i="15"/>
  <c r="D8" i="15"/>
  <c r="D9" i="15" s="1"/>
  <c r="D10" i="15" s="1"/>
  <c r="D11" i="15" s="1"/>
  <c r="D12" i="15" s="1"/>
  <c r="D13" i="15" s="1"/>
  <c r="D14" i="15" s="1"/>
  <c r="D15" i="15" s="1"/>
  <c r="D16" i="15" s="1"/>
  <c r="D17" i="15" s="1"/>
  <c r="D18" i="15" s="1"/>
  <c r="D19" i="15" s="1"/>
  <c r="D20" i="15" s="1"/>
  <c r="D21" i="15" s="1"/>
  <c r="D22" i="15" s="1"/>
  <c r="D23" i="15" s="1"/>
  <c r="D24" i="15" s="1"/>
  <c r="D25" i="15" s="1"/>
  <c r="D26" i="15" s="1"/>
  <c r="D27" i="15" s="1"/>
  <c r="D28" i="15" s="1"/>
  <c r="D29" i="15" s="1"/>
  <c r="D30" i="15" s="1"/>
  <c r="D31" i="15" s="1"/>
  <c r="D32" i="15" s="1"/>
  <c r="D33" i="15" s="1"/>
  <c r="D34" i="15" s="1"/>
  <c r="D35" i="15" s="1"/>
  <c r="D36" i="15" s="1"/>
  <c r="D37" i="15" s="1"/>
  <c r="D38" i="15" s="1"/>
  <c r="D39" i="15" s="1"/>
  <c r="D40" i="15" s="1"/>
  <c r="D41" i="15" s="1"/>
  <c r="D42" i="15" s="1"/>
  <c r="D43" i="15" s="1"/>
  <c r="D44" i="15" s="1"/>
  <c r="D45" i="15" s="1"/>
  <c r="D46" i="15" s="1"/>
  <c r="D47" i="15" s="1"/>
  <c r="D48" i="15" s="1"/>
  <c r="D49" i="15" s="1"/>
  <c r="D50" i="15" s="1"/>
  <c r="D51" i="15" s="1"/>
  <c r="D52" i="15" s="1"/>
  <c r="D53" i="15" s="1"/>
  <c r="D54" i="15" s="1"/>
  <c r="D55" i="15" s="1"/>
  <c r="D56" i="15" s="1"/>
  <c r="D57" i="15" s="1"/>
  <c r="F182" i="14"/>
  <c r="H179" i="14"/>
  <c r="H178" i="14"/>
  <c r="H182" i="14" s="1"/>
  <c r="H164" i="14"/>
  <c r="H163" i="14"/>
  <c r="H103" i="14"/>
  <c r="G93" i="14"/>
  <c r="G94" i="14" s="1"/>
  <c r="G96" i="14" s="1"/>
  <c r="B76" i="14"/>
  <c r="D70" i="14"/>
  <c r="D71" i="14" s="1"/>
  <c r="D72" i="14" s="1"/>
  <c r="D73" i="14" s="1"/>
  <c r="D74" i="14" s="1"/>
  <c r="D75" i="14" s="1"/>
  <c r="D76" i="14" s="1"/>
  <c r="D77" i="14" s="1"/>
  <c r="D78" i="14" s="1"/>
  <c r="D79" i="14" s="1"/>
  <c r="D80" i="14" s="1"/>
  <c r="D81" i="14" s="1"/>
  <c r="D82" i="14" s="1"/>
  <c r="D83" i="14" s="1"/>
  <c r="D84" i="14" s="1"/>
  <c r="D85" i="14" s="1"/>
  <c r="D86" i="14" s="1"/>
  <c r="D87" i="14" s="1"/>
  <c r="D88" i="14" s="1"/>
  <c r="D89" i="14" s="1"/>
  <c r="D90" i="14" s="1"/>
  <c r="D91" i="14" s="1"/>
  <c r="D92" i="14" s="1"/>
  <c r="D93" i="14" s="1"/>
  <c r="D94" i="14" s="1"/>
  <c r="D95" i="14" s="1"/>
  <c r="D96" i="14" s="1"/>
  <c r="D97" i="14" s="1"/>
  <c r="D98" i="14" s="1"/>
  <c r="D99" i="14" s="1"/>
  <c r="D100" i="14" s="1"/>
  <c r="D101" i="14" s="1"/>
  <c r="D102" i="14" s="1"/>
  <c r="D103" i="14" s="1"/>
  <c r="D104" i="14" s="1"/>
  <c r="D105" i="14" s="1"/>
  <c r="D106" i="14" s="1"/>
  <c r="D107" i="14" s="1"/>
  <c r="D108" i="14" s="1"/>
  <c r="D109" i="14" s="1"/>
  <c r="D110" i="14" s="1"/>
  <c r="G29" i="14"/>
  <c r="G74" i="14" s="1"/>
  <c r="H22" i="14"/>
  <c r="H25" i="14" s="1"/>
  <c r="H17" i="14"/>
  <c r="H18" i="14" s="1"/>
  <c r="E16" i="14"/>
  <c r="B15" i="14"/>
  <c r="B54" i="14" s="1"/>
  <c r="F102" i="14" s="1"/>
  <c r="D8" i="14"/>
  <c r="D9" i="14" s="1"/>
  <c r="D10" i="14" s="1"/>
  <c r="D11" i="14" s="1"/>
  <c r="D12" i="14" s="1"/>
  <c r="D13" i="14" s="1"/>
  <c r="D14" i="14" s="1"/>
  <c r="D15" i="14" s="1"/>
  <c r="D16" i="14" s="1"/>
  <c r="D17" i="14" s="1"/>
  <c r="D18" i="14" s="1"/>
  <c r="D19" i="14" s="1"/>
  <c r="D20" i="14" s="1"/>
  <c r="D21" i="14" s="1"/>
  <c r="D22" i="14" s="1"/>
  <c r="D23" i="14" s="1"/>
  <c r="D24" i="14" s="1"/>
  <c r="D25" i="14" s="1"/>
  <c r="D26" i="14" s="1"/>
  <c r="D27" i="14" s="1"/>
  <c r="D28" i="14" s="1"/>
  <c r="D29" i="14" s="1"/>
  <c r="D30" i="14" s="1"/>
  <c r="D31" i="14" s="1"/>
  <c r="D32" i="14" s="1"/>
  <c r="D33" i="14" s="1"/>
  <c r="D34" i="14" s="1"/>
  <c r="D35" i="14" s="1"/>
  <c r="D36" i="14" s="1"/>
  <c r="D37" i="14" s="1"/>
  <c r="D38" i="14" s="1"/>
  <c r="D39" i="14" s="1"/>
  <c r="D40" i="14" s="1"/>
  <c r="D41" i="14" s="1"/>
  <c r="D42" i="14" s="1"/>
  <c r="D43" i="14" s="1"/>
  <c r="D44" i="14" s="1"/>
  <c r="D45" i="14" s="1"/>
  <c r="D46" i="14" s="1"/>
  <c r="D47" i="14" s="1"/>
  <c r="D48" i="14" s="1"/>
  <c r="D49" i="14" s="1"/>
  <c r="D50" i="14" s="1"/>
  <c r="D51" i="14" s="1"/>
  <c r="D52" i="14" s="1"/>
  <c r="D53" i="14" s="1"/>
  <c r="D54" i="14" s="1"/>
  <c r="D55" i="14" s="1"/>
  <c r="D56" i="14" s="1"/>
  <c r="D57" i="14" s="1"/>
  <c r="F182" i="13"/>
  <c r="H179" i="13"/>
  <c r="H178" i="13"/>
  <c r="H182" i="13" s="1"/>
  <c r="H164" i="13"/>
  <c r="H163" i="13"/>
  <c r="H103" i="13"/>
  <c r="G93" i="13"/>
  <c r="G94" i="13" s="1"/>
  <c r="G96" i="13" s="1"/>
  <c r="B76" i="13"/>
  <c r="D70" i="13"/>
  <c r="D71" i="13" s="1"/>
  <c r="D72" i="13" s="1"/>
  <c r="D73" i="13" s="1"/>
  <c r="D74" i="13" s="1"/>
  <c r="D75" i="13" s="1"/>
  <c r="D76" i="13" s="1"/>
  <c r="D77" i="13" s="1"/>
  <c r="D78" i="13" s="1"/>
  <c r="D79" i="13" s="1"/>
  <c r="D80" i="13" s="1"/>
  <c r="D81" i="13" s="1"/>
  <c r="D82" i="13" s="1"/>
  <c r="D83" i="13" s="1"/>
  <c r="D84" i="13" s="1"/>
  <c r="D85" i="13" s="1"/>
  <c r="D86" i="13" s="1"/>
  <c r="D87" i="13" s="1"/>
  <c r="D88" i="13" s="1"/>
  <c r="D89" i="13" s="1"/>
  <c r="D90" i="13" s="1"/>
  <c r="D91" i="13" s="1"/>
  <c r="D92" i="13" s="1"/>
  <c r="D93" i="13" s="1"/>
  <c r="D94" i="13" s="1"/>
  <c r="D95" i="13" s="1"/>
  <c r="D96" i="13" s="1"/>
  <c r="D97" i="13" s="1"/>
  <c r="D98" i="13" s="1"/>
  <c r="D99" i="13" s="1"/>
  <c r="D100" i="13" s="1"/>
  <c r="D101" i="13" s="1"/>
  <c r="D102" i="13" s="1"/>
  <c r="D103" i="13" s="1"/>
  <c r="D104" i="13" s="1"/>
  <c r="D105" i="13" s="1"/>
  <c r="D106" i="13" s="1"/>
  <c r="D107" i="13" s="1"/>
  <c r="D108" i="13" s="1"/>
  <c r="D109" i="13" s="1"/>
  <c r="D110" i="13" s="1"/>
  <c r="B54" i="13"/>
  <c r="F102" i="13" s="1"/>
  <c r="G29" i="13"/>
  <c r="G74" i="13" s="1"/>
  <c r="H22" i="13"/>
  <c r="H25" i="13" s="1"/>
  <c r="H17" i="13"/>
  <c r="H18" i="13" s="1"/>
  <c r="E16" i="13"/>
  <c r="D8" i="13"/>
  <c r="D9" i="13" s="1"/>
  <c r="D10" i="13" s="1"/>
  <c r="D11" i="13" s="1"/>
  <c r="D12" i="13" s="1"/>
  <c r="D13" i="13" s="1"/>
  <c r="D14" i="13" s="1"/>
  <c r="D15" i="13" s="1"/>
  <c r="D16" i="13" s="1"/>
  <c r="D17" i="13" s="1"/>
  <c r="D18" i="13" s="1"/>
  <c r="D19" i="13" s="1"/>
  <c r="D20" i="13" s="1"/>
  <c r="D21" i="13" s="1"/>
  <c r="D22" i="13" s="1"/>
  <c r="D23" i="13" s="1"/>
  <c r="D24" i="13" s="1"/>
  <c r="D25" i="13" s="1"/>
  <c r="D26" i="13" s="1"/>
  <c r="D27" i="13" s="1"/>
  <c r="D28" i="13" s="1"/>
  <c r="D29" i="13" s="1"/>
  <c r="D30" i="13" s="1"/>
  <c r="D31" i="13" s="1"/>
  <c r="D32" i="13" s="1"/>
  <c r="D33" i="13" s="1"/>
  <c r="D34" i="13" s="1"/>
  <c r="D35" i="13" s="1"/>
  <c r="D36" i="13" s="1"/>
  <c r="D37" i="13" s="1"/>
  <c r="D38" i="13" s="1"/>
  <c r="D39" i="13" s="1"/>
  <c r="D40" i="13" s="1"/>
  <c r="D41" i="13" s="1"/>
  <c r="D42" i="13" s="1"/>
  <c r="D43" i="13" s="1"/>
  <c r="D44" i="13" s="1"/>
  <c r="D45" i="13" s="1"/>
  <c r="D46" i="13" s="1"/>
  <c r="D47" i="13" s="1"/>
  <c r="D48" i="13" s="1"/>
  <c r="D49" i="13" s="1"/>
  <c r="D50" i="13" s="1"/>
  <c r="D51" i="13" s="1"/>
  <c r="D52" i="13" s="1"/>
  <c r="D53" i="13" s="1"/>
  <c r="D54" i="13" s="1"/>
  <c r="D55" i="13" s="1"/>
  <c r="D56" i="13" s="1"/>
  <c r="D57" i="13" s="1"/>
  <c r="AG33" i="11"/>
  <c r="AG32" i="11"/>
  <c r="AG31" i="11"/>
  <c r="AJ21" i="11"/>
  <c r="AM21" i="11" s="1"/>
  <c r="O36" i="11"/>
  <c r="M36" i="11"/>
  <c r="L36" i="11"/>
  <c r="K36" i="11"/>
  <c r="H36" i="11"/>
  <c r="K32" i="11"/>
  <c r="J32" i="11"/>
  <c r="J15" i="11" s="1"/>
  <c r="D32" i="11"/>
  <c r="K31" i="11"/>
  <c r="J31" i="11"/>
  <c r="I31" i="11"/>
  <c r="H31" i="11"/>
  <c r="G31" i="11"/>
  <c r="F31" i="11"/>
  <c r="E31" i="11"/>
  <c r="D31" i="11"/>
  <c r="C31" i="11"/>
  <c r="S20" i="11"/>
  <c r="S37" i="11" s="1"/>
  <c r="R20" i="11"/>
  <c r="R37" i="11" s="1"/>
  <c r="Q20" i="11"/>
  <c r="Q37" i="11" s="1"/>
  <c r="P20" i="11"/>
  <c r="P37" i="11" s="1"/>
  <c r="O20" i="11"/>
  <c r="O37" i="11" s="1"/>
  <c r="N20" i="11"/>
  <c r="N37" i="11" s="1"/>
  <c r="M20" i="11"/>
  <c r="M37" i="11" s="1"/>
  <c r="L20" i="11"/>
  <c r="L37" i="11" s="1"/>
  <c r="S19" i="11"/>
  <c r="S36" i="11" s="1"/>
  <c r="R19" i="11"/>
  <c r="R36" i="11" s="1"/>
  <c r="Q19" i="11"/>
  <c r="Q36" i="11" s="1"/>
  <c r="P19" i="11"/>
  <c r="P36" i="11" s="1"/>
  <c r="N19" i="11"/>
  <c r="N36" i="11" s="1"/>
  <c r="J19" i="11"/>
  <c r="I19" i="11"/>
  <c r="S15" i="11"/>
  <c r="S32" i="11" s="1"/>
  <c r="R15" i="11"/>
  <c r="R32" i="11" s="1"/>
  <c r="Q15" i="11"/>
  <c r="Q32" i="11" s="1"/>
  <c r="P15" i="11"/>
  <c r="P32" i="11" s="1"/>
  <c r="O15" i="11"/>
  <c r="O32" i="11" s="1"/>
  <c r="N15" i="11"/>
  <c r="N32" i="11" s="1"/>
  <c r="M15" i="11"/>
  <c r="M32" i="11" s="1"/>
  <c r="L15" i="11"/>
  <c r="L32" i="11" s="1"/>
  <c r="S14" i="11"/>
  <c r="S31" i="11" s="1"/>
  <c r="R14" i="11"/>
  <c r="R31" i="11" s="1"/>
  <c r="Q14" i="11"/>
  <c r="Q31" i="11" s="1"/>
  <c r="P14" i="11"/>
  <c r="P31" i="11" s="1"/>
  <c r="O14" i="11"/>
  <c r="O31" i="11" s="1"/>
  <c r="N14" i="11"/>
  <c r="N31" i="11" s="1"/>
  <c r="M14" i="11"/>
  <c r="M31" i="11" s="1"/>
  <c r="L14" i="11"/>
  <c r="L31" i="11" s="1"/>
  <c r="S11" i="11"/>
  <c r="S30" i="11" s="1"/>
  <c r="S44" i="11" s="1"/>
  <c r="R11" i="11"/>
  <c r="R30" i="11" s="1"/>
  <c r="Q11" i="11"/>
  <c r="Q30" i="11" s="1"/>
  <c r="Q44" i="11" s="1"/>
  <c r="Q46" i="11" s="1"/>
  <c r="P11" i="11"/>
  <c r="P30" i="11" s="1"/>
  <c r="P44" i="11" s="1"/>
  <c r="O11" i="11"/>
  <c r="O30" i="11" s="1"/>
  <c r="N11" i="11"/>
  <c r="N30" i="11" s="1"/>
  <c r="N44" i="11" s="1"/>
  <c r="M11" i="11"/>
  <c r="M30" i="11" s="1"/>
  <c r="M44" i="11" s="1"/>
  <c r="L11" i="11"/>
  <c r="L30" i="11" s="1"/>
  <c r="L44" i="11" s="1"/>
  <c r="K11" i="11"/>
  <c r="K30" i="11" s="1"/>
  <c r="J11" i="11"/>
  <c r="J30" i="11" s="1"/>
  <c r="I11" i="11"/>
  <c r="I30" i="11" s="1"/>
  <c r="H11" i="11"/>
  <c r="H30" i="11" s="1"/>
  <c r="G11" i="11"/>
  <c r="G30" i="11" s="1"/>
  <c r="F11" i="11"/>
  <c r="F30" i="11" s="1"/>
  <c r="E11" i="11"/>
  <c r="E30" i="11" s="1"/>
  <c r="D11" i="11"/>
  <c r="D30" i="11" s="1"/>
  <c r="C11" i="11"/>
  <c r="C30" i="11" s="1"/>
  <c r="C8" i="11"/>
  <c r="C10" i="11" s="1"/>
  <c r="C27" i="11" s="1"/>
  <c r="F182" i="10"/>
  <c r="H179" i="10"/>
  <c r="H178" i="10"/>
  <c r="H182" i="10" s="1"/>
  <c r="H164" i="10"/>
  <c r="H163" i="10"/>
  <c r="H103" i="10"/>
  <c r="G93" i="10"/>
  <c r="G94" i="10" s="1"/>
  <c r="G96" i="10" s="1"/>
  <c r="B76" i="10"/>
  <c r="D70" i="10"/>
  <c r="D71" i="10" s="1"/>
  <c r="D72" i="10" s="1"/>
  <c r="D73" i="10" s="1"/>
  <c r="D74" i="10" s="1"/>
  <c r="D75" i="10" s="1"/>
  <c r="D76" i="10" s="1"/>
  <c r="D77" i="10" s="1"/>
  <c r="D78" i="10" s="1"/>
  <c r="D79" i="10" s="1"/>
  <c r="D80" i="10" s="1"/>
  <c r="D81" i="10" s="1"/>
  <c r="D82" i="10" s="1"/>
  <c r="D83" i="10" s="1"/>
  <c r="D84" i="10" s="1"/>
  <c r="D85" i="10" s="1"/>
  <c r="D86" i="10" s="1"/>
  <c r="D87" i="10" s="1"/>
  <c r="D88" i="10" s="1"/>
  <c r="D89" i="10" s="1"/>
  <c r="D90" i="10" s="1"/>
  <c r="D91" i="10" s="1"/>
  <c r="D92" i="10" s="1"/>
  <c r="D93" i="10" s="1"/>
  <c r="D94" i="10" s="1"/>
  <c r="D95" i="10" s="1"/>
  <c r="D96" i="10" s="1"/>
  <c r="D97" i="10" s="1"/>
  <c r="D98" i="10" s="1"/>
  <c r="D99" i="10" s="1"/>
  <c r="D100" i="10" s="1"/>
  <c r="D101" i="10" s="1"/>
  <c r="D102" i="10" s="1"/>
  <c r="D103" i="10" s="1"/>
  <c r="D104" i="10" s="1"/>
  <c r="D105" i="10" s="1"/>
  <c r="D106" i="10" s="1"/>
  <c r="D107" i="10" s="1"/>
  <c r="D108" i="10" s="1"/>
  <c r="D109" i="10" s="1"/>
  <c r="D110" i="10" s="1"/>
  <c r="G29" i="10"/>
  <c r="G74" i="10" s="1"/>
  <c r="H22" i="10"/>
  <c r="H25" i="10" s="1"/>
  <c r="H17" i="10"/>
  <c r="H18" i="10" s="1"/>
  <c r="E16" i="10"/>
  <c r="B9" i="10"/>
  <c r="B54" i="10" s="1"/>
  <c r="F102" i="10" s="1"/>
  <c r="D8" i="10"/>
  <c r="D9" i="10" s="1"/>
  <c r="D10" i="10" s="1"/>
  <c r="D11" i="10" s="1"/>
  <c r="D12" i="10" s="1"/>
  <c r="D13" i="10" s="1"/>
  <c r="D14" i="10" s="1"/>
  <c r="D15" i="10" s="1"/>
  <c r="D16" i="10" s="1"/>
  <c r="D17" i="10" s="1"/>
  <c r="D18" i="10" s="1"/>
  <c r="D19" i="10" s="1"/>
  <c r="D20" i="10" s="1"/>
  <c r="D21" i="10" s="1"/>
  <c r="D22" i="10" s="1"/>
  <c r="D23" i="10" s="1"/>
  <c r="D24" i="10" s="1"/>
  <c r="D25" i="10" s="1"/>
  <c r="D26" i="10" s="1"/>
  <c r="D27" i="10" s="1"/>
  <c r="D28" i="10" s="1"/>
  <c r="D29" i="10" s="1"/>
  <c r="D30" i="10" s="1"/>
  <c r="D31" i="10" s="1"/>
  <c r="D32" i="10" s="1"/>
  <c r="D33" i="10" s="1"/>
  <c r="D34" i="10" s="1"/>
  <c r="D35" i="10" s="1"/>
  <c r="D36" i="10" s="1"/>
  <c r="D37" i="10" s="1"/>
  <c r="D38" i="10" s="1"/>
  <c r="D39" i="10" s="1"/>
  <c r="D40" i="10" s="1"/>
  <c r="D41" i="10" s="1"/>
  <c r="D42" i="10" s="1"/>
  <c r="D43" i="10" s="1"/>
  <c r="D44" i="10" s="1"/>
  <c r="D45" i="10" s="1"/>
  <c r="D46" i="10" s="1"/>
  <c r="D47" i="10" s="1"/>
  <c r="D48" i="10" s="1"/>
  <c r="D49" i="10" s="1"/>
  <c r="D50" i="10" s="1"/>
  <c r="D51" i="10" s="1"/>
  <c r="D52" i="10" s="1"/>
  <c r="D53" i="10" s="1"/>
  <c r="D54" i="10" s="1"/>
  <c r="D55" i="10" s="1"/>
  <c r="D56" i="10" s="1"/>
  <c r="D57" i="10" s="1"/>
  <c r="F182" i="9"/>
  <c r="H179" i="9"/>
  <c r="H178" i="9"/>
  <c r="H182" i="9" s="1"/>
  <c r="H164" i="9"/>
  <c r="H163" i="9"/>
  <c r="H103" i="9"/>
  <c r="G93" i="9"/>
  <c r="G94" i="9" s="1"/>
  <c r="G96" i="9" s="1"/>
  <c r="B76" i="9"/>
  <c r="D70" i="9"/>
  <c r="D71" i="9" s="1"/>
  <c r="D72" i="9" s="1"/>
  <c r="D73" i="9" s="1"/>
  <c r="D74" i="9" s="1"/>
  <c r="D75" i="9" s="1"/>
  <c r="D76" i="9" s="1"/>
  <c r="D77" i="9" s="1"/>
  <c r="D78" i="9" s="1"/>
  <c r="D79" i="9" s="1"/>
  <c r="D80" i="9" s="1"/>
  <c r="D81" i="9" s="1"/>
  <c r="D82" i="9" s="1"/>
  <c r="D83" i="9" s="1"/>
  <c r="D84" i="9" s="1"/>
  <c r="D85" i="9" s="1"/>
  <c r="D86" i="9" s="1"/>
  <c r="D87" i="9" s="1"/>
  <c r="D88" i="9" s="1"/>
  <c r="D89" i="9" s="1"/>
  <c r="D90" i="9" s="1"/>
  <c r="D91" i="9" s="1"/>
  <c r="D92" i="9" s="1"/>
  <c r="D93" i="9" s="1"/>
  <c r="D94" i="9" s="1"/>
  <c r="D95" i="9" s="1"/>
  <c r="D96" i="9" s="1"/>
  <c r="D97" i="9" s="1"/>
  <c r="D98" i="9" s="1"/>
  <c r="D99" i="9" s="1"/>
  <c r="D100" i="9" s="1"/>
  <c r="D101" i="9" s="1"/>
  <c r="D102" i="9" s="1"/>
  <c r="D103" i="9" s="1"/>
  <c r="D104" i="9" s="1"/>
  <c r="D105" i="9" s="1"/>
  <c r="D106" i="9" s="1"/>
  <c r="D107" i="9" s="1"/>
  <c r="D108" i="9" s="1"/>
  <c r="D109" i="9" s="1"/>
  <c r="D110" i="9" s="1"/>
  <c r="G29" i="9"/>
  <c r="G74" i="9" s="1"/>
  <c r="H22" i="9"/>
  <c r="H25" i="9" s="1"/>
  <c r="B21" i="9"/>
  <c r="B20" i="9"/>
  <c r="B54" i="9" s="1"/>
  <c r="F102" i="9" s="1"/>
  <c r="H17" i="9"/>
  <c r="H18" i="9" s="1"/>
  <c r="E16" i="9"/>
  <c r="B5" i="9"/>
  <c r="D3" i="9"/>
  <c r="D4" i="9" s="1"/>
  <c r="D5" i="9" s="1"/>
  <c r="D6" i="9" s="1"/>
  <c r="D7" i="9" s="1"/>
  <c r="D8" i="9" s="1"/>
  <c r="D9" i="9" s="1"/>
  <c r="D10" i="9" s="1"/>
  <c r="D11" i="9" s="1"/>
  <c r="D12" i="9" s="1"/>
  <c r="D13" i="9" s="1"/>
  <c r="D14" i="9" s="1"/>
  <c r="D15" i="9" s="1"/>
  <c r="D16" i="9" s="1"/>
  <c r="D17" i="9" s="1"/>
  <c r="D18" i="9" s="1"/>
  <c r="D19" i="9" s="1"/>
  <c r="D20" i="9" s="1"/>
  <c r="D21" i="9" s="1"/>
  <c r="D22" i="9" s="1"/>
  <c r="D23" i="9" s="1"/>
  <c r="D24" i="9" s="1"/>
  <c r="D25" i="9" s="1"/>
  <c r="D26" i="9" s="1"/>
  <c r="D27" i="9" s="1"/>
  <c r="D28" i="9" s="1"/>
  <c r="D29" i="9" s="1"/>
  <c r="D30" i="9" s="1"/>
  <c r="D31" i="9" s="1"/>
  <c r="D32" i="9" s="1"/>
  <c r="D33" i="9" s="1"/>
  <c r="D34" i="9" s="1"/>
  <c r="D35" i="9" s="1"/>
  <c r="D36" i="9" s="1"/>
  <c r="D37" i="9" s="1"/>
  <c r="D38" i="9" s="1"/>
  <c r="D39" i="9" s="1"/>
  <c r="D40" i="9" s="1"/>
  <c r="D41" i="9" s="1"/>
  <c r="D42" i="9" s="1"/>
  <c r="D43" i="9" s="1"/>
  <c r="D44" i="9" s="1"/>
  <c r="D45" i="9" s="1"/>
  <c r="D46" i="9" s="1"/>
  <c r="D47" i="9" s="1"/>
  <c r="D48" i="9" s="1"/>
  <c r="D49" i="9" s="1"/>
  <c r="D50" i="9" s="1"/>
  <c r="D51" i="9" s="1"/>
  <c r="D52" i="9" s="1"/>
  <c r="D53" i="9" s="1"/>
  <c r="D54" i="9" s="1"/>
  <c r="D55" i="9" s="1"/>
  <c r="D56" i="9" s="1"/>
  <c r="D57" i="9" s="1"/>
  <c r="D58" i="9" s="1"/>
  <c r="D59" i="9" s="1"/>
  <c r="D60" i="9" s="1"/>
  <c r="D61" i="9" s="1"/>
  <c r="F182" i="8"/>
  <c r="H179" i="8"/>
  <c r="H178" i="8"/>
  <c r="H182" i="8" s="1"/>
  <c r="H164" i="8"/>
  <c r="H163" i="8"/>
  <c r="H103" i="8"/>
  <c r="G93" i="8"/>
  <c r="G94" i="8" s="1"/>
  <c r="G96" i="8" s="1"/>
  <c r="B76" i="8"/>
  <c r="D70" i="8"/>
  <c r="D71" i="8" s="1"/>
  <c r="D72" i="8" s="1"/>
  <c r="D73" i="8" s="1"/>
  <c r="D74" i="8" s="1"/>
  <c r="D75" i="8" s="1"/>
  <c r="D76" i="8" s="1"/>
  <c r="D77" i="8" s="1"/>
  <c r="D78" i="8" s="1"/>
  <c r="D79" i="8" s="1"/>
  <c r="D80" i="8" s="1"/>
  <c r="D81" i="8" s="1"/>
  <c r="D82" i="8" s="1"/>
  <c r="D83" i="8" s="1"/>
  <c r="D84" i="8" s="1"/>
  <c r="D85" i="8" s="1"/>
  <c r="D86" i="8" s="1"/>
  <c r="D87" i="8" s="1"/>
  <c r="D88" i="8" s="1"/>
  <c r="D89" i="8" s="1"/>
  <c r="D90" i="8" s="1"/>
  <c r="D91" i="8" s="1"/>
  <c r="D92" i="8" s="1"/>
  <c r="D93" i="8" s="1"/>
  <c r="D94" i="8" s="1"/>
  <c r="D95" i="8" s="1"/>
  <c r="D96" i="8" s="1"/>
  <c r="D97" i="8" s="1"/>
  <c r="D98" i="8" s="1"/>
  <c r="D99" i="8" s="1"/>
  <c r="D100" i="8" s="1"/>
  <c r="D101" i="8" s="1"/>
  <c r="D102" i="8" s="1"/>
  <c r="D103" i="8" s="1"/>
  <c r="D104" i="8" s="1"/>
  <c r="D105" i="8" s="1"/>
  <c r="D106" i="8" s="1"/>
  <c r="D107" i="8" s="1"/>
  <c r="D108" i="8" s="1"/>
  <c r="D109" i="8" s="1"/>
  <c r="D110" i="8" s="1"/>
  <c r="G49" i="8"/>
  <c r="D48" i="8"/>
  <c r="D49" i="8" s="1"/>
  <c r="D50" i="8" s="1"/>
  <c r="D51" i="8" s="1"/>
  <c r="D52" i="8" s="1"/>
  <c r="D53" i="8" s="1"/>
  <c r="G29" i="8"/>
  <c r="G74" i="8" s="1"/>
  <c r="H22" i="8"/>
  <c r="H25" i="8" s="1"/>
  <c r="B22" i="8"/>
  <c r="H17" i="8"/>
  <c r="H18" i="8" s="1"/>
  <c r="E16" i="8"/>
  <c r="B9" i="8"/>
  <c r="B54" i="8" s="1"/>
  <c r="F102" i="8" s="1"/>
  <c r="B6" i="8"/>
  <c r="D3" i="8"/>
  <c r="D4" i="8" s="1"/>
  <c r="D5" i="8" s="1"/>
  <c r="D6" i="8" s="1"/>
  <c r="F182" i="7"/>
  <c r="H179" i="7"/>
  <c r="H178" i="7"/>
  <c r="H182" i="7" s="1"/>
  <c r="H164" i="7"/>
  <c r="H163" i="7"/>
  <c r="H103" i="7"/>
  <c r="G93" i="7"/>
  <c r="G94" i="7" s="1"/>
  <c r="G96" i="7" s="1"/>
  <c r="B76" i="7"/>
  <c r="D70" i="7"/>
  <c r="D71" i="7" s="1"/>
  <c r="D72" i="7" s="1"/>
  <c r="D73" i="7" s="1"/>
  <c r="D74" i="7" s="1"/>
  <c r="D75" i="7" s="1"/>
  <c r="D76" i="7" s="1"/>
  <c r="D77" i="7" s="1"/>
  <c r="D78" i="7" s="1"/>
  <c r="D79" i="7" s="1"/>
  <c r="D80" i="7" s="1"/>
  <c r="D81" i="7" s="1"/>
  <c r="D82" i="7" s="1"/>
  <c r="D83" i="7" s="1"/>
  <c r="D84" i="7" s="1"/>
  <c r="D85" i="7" s="1"/>
  <c r="D86" i="7" s="1"/>
  <c r="D87" i="7" s="1"/>
  <c r="D88" i="7" s="1"/>
  <c r="D89" i="7" s="1"/>
  <c r="D90" i="7" s="1"/>
  <c r="D91" i="7" s="1"/>
  <c r="D92" i="7" s="1"/>
  <c r="D93" i="7" s="1"/>
  <c r="D94" i="7" s="1"/>
  <c r="D95" i="7" s="1"/>
  <c r="D96" i="7" s="1"/>
  <c r="D97" i="7" s="1"/>
  <c r="D98" i="7" s="1"/>
  <c r="D99" i="7" s="1"/>
  <c r="D100" i="7" s="1"/>
  <c r="D101" i="7" s="1"/>
  <c r="D102" i="7" s="1"/>
  <c r="D103" i="7" s="1"/>
  <c r="D104" i="7" s="1"/>
  <c r="D105" i="7" s="1"/>
  <c r="D106" i="7" s="1"/>
  <c r="D107" i="7" s="1"/>
  <c r="D108" i="7" s="1"/>
  <c r="D109" i="7" s="1"/>
  <c r="D110" i="7" s="1"/>
  <c r="E52" i="7"/>
  <c r="B50" i="7"/>
  <c r="G49" i="7"/>
  <c r="B32" i="7"/>
  <c r="G29" i="7"/>
  <c r="G74" i="7" s="1"/>
  <c r="H22" i="7"/>
  <c r="H25" i="7" s="1"/>
  <c r="H17" i="7"/>
  <c r="H18" i="7" s="1"/>
  <c r="E16" i="7"/>
  <c r="B11" i="7"/>
  <c r="B54" i="7" s="1"/>
  <c r="D3" i="7"/>
  <c r="D4" i="7" s="1"/>
  <c r="D5" i="7" s="1"/>
  <c r="D6" i="7" s="1"/>
  <c r="B77" i="6"/>
  <c r="B76" i="6"/>
  <c r="B75" i="6"/>
  <c r="B69" i="6"/>
  <c r="J55" i="6"/>
  <c r="B45" i="6"/>
  <c r="B37" i="6"/>
  <c r="B36" i="6"/>
  <c r="B33" i="6"/>
  <c r="B24" i="6"/>
  <c r="B20" i="6"/>
  <c r="B15" i="6"/>
  <c r="B14" i="6"/>
  <c r="B13" i="6"/>
  <c r="B12" i="6"/>
  <c r="B9" i="6"/>
  <c r="B7" i="6"/>
  <c r="H4" i="6"/>
  <c r="H5" i="6" s="1"/>
  <c r="H6" i="6" s="1"/>
  <c r="H7" i="6" s="1"/>
  <c r="H8" i="6" s="1"/>
  <c r="H9" i="6" s="1"/>
  <c r="H10" i="6" s="1"/>
  <c r="H11" i="6" s="1"/>
  <c r="H12" i="6" s="1"/>
  <c r="H13" i="6" s="1"/>
  <c r="H14" i="6" s="1"/>
  <c r="H15" i="6" s="1"/>
  <c r="H16" i="6" s="1"/>
  <c r="H17" i="6" s="1"/>
  <c r="H18" i="6" s="1"/>
  <c r="H19" i="6" s="1"/>
  <c r="H20" i="6" s="1"/>
  <c r="H21" i="6" s="1"/>
  <c r="H22" i="6" s="1"/>
  <c r="H23" i="6" s="1"/>
  <c r="H24" i="6" s="1"/>
  <c r="H25" i="6" s="1"/>
  <c r="H26" i="6" s="1"/>
  <c r="H27" i="6" s="1"/>
  <c r="H28" i="6" s="1"/>
  <c r="H29" i="6" s="1"/>
  <c r="H30" i="6" s="1"/>
  <c r="H31" i="6" s="1"/>
  <c r="H32" i="6" s="1"/>
  <c r="H33" i="6" s="1"/>
  <c r="H34" i="6" s="1"/>
  <c r="H35" i="6" s="1"/>
  <c r="H36" i="6" s="1"/>
  <c r="H37" i="6" s="1"/>
  <c r="H38" i="6" s="1"/>
  <c r="H39" i="6" s="1"/>
  <c r="H40" i="6" s="1"/>
  <c r="H41" i="6" s="1"/>
  <c r="H42" i="6" s="1"/>
  <c r="H43" i="6" s="1"/>
  <c r="H44" i="6" s="1"/>
  <c r="H45" i="6" s="1"/>
  <c r="H46" i="6" s="1"/>
  <c r="H47" i="6" s="1"/>
  <c r="H48" i="6" s="1"/>
  <c r="H49" i="6" s="1"/>
  <c r="H50" i="6" s="1"/>
  <c r="H51" i="6" s="1"/>
  <c r="H52" i="6" s="1"/>
  <c r="H53" i="6" s="1"/>
  <c r="H54" i="6" s="1"/>
  <c r="H55" i="6" s="1"/>
  <c r="H56" i="6" s="1"/>
  <c r="H57" i="6" s="1"/>
  <c r="H58" i="6" s="1"/>
  <c r="H59" i="6" s="1"/>
  <c r="H60" i="6" s="1"/>
  <c r="H61" i="6" s="1"/>
  <c r="H62" i="6" s="1"/>
  <c r="H63" i="6" s="1"/>
  <c r="H64" i="6" s="1"/>
  <c r="H65" i="6" s="1"/>
  <c r="H66" i="6" s="1"/>
  <c r="H67" i="6" s="1"/>
  <c r="H68" i="6" s="1"/>
  <c r="H69" i="6" s="1"/>
  <c r="H70" i="6" s="1"/>
  <c r="H71" i="6" s="1"/>
  <c r="H72" i="6" s="1"/>
  <c r="H73" i="6" s="1"/>
  <c r="H74" i="6" s="1"/>
  <c r="H75" i="6" s="1"/>
  <c r="H76" i="6" s="1"/>
  <c r="H77" i="6" s="1"/>
  <c r="H78" i="6" s="1"/>
  <c r="H79" i="6" s="1"/>
  <c r="H80" i="6" s="1"/>
  <c r="H81" i="6" s="1"/>
  <c r="H82" i="6" s="1"/>
  <c r="H83" i="6" s="1"/>
  <c r="H84" i="6" s="1"/>
  <c r="G4" i="6"/>
  <c r="G5" i="6" s="1"/>
  <c r="G6" i="6" s="1"/>
  <c r="G7" i="6" s="1"/>
  <c r="G8" i="6" s="1"/>
  <c r="G9" i="6" s="1"/>
  <c r="G10" i="6" s="1"/>
  <c r="G11" i="6" s="1"/>
  <c r="G12" i="6" s="1"/>
  <c r="G13" i="6" s="1"/>
  <c r="G14" i="6" s="1"/>
  <c r="G15" i="6" s="1"/>
  <c r="G16" i="6" s="1"/>
  <c r="G17" i="6" s="1"/>
  <c r="G18" i="6" s="1"/>
  <c r="G19" i="6" s="1"/>
  <c r="G20" i="6" s="1"/>
  <c r="G21" i="6" s="1"/>
  <c r="G22" i="6" s="1"/>
  <c r="G23" i="6" s="1"/>
  <c r="G24" i="6" s="1"/>
  <c r="G25" i="6" s="1"/>
  <c r="G26" i="6" s="1"/>
  <c r="G27" i="6" s="1"/>
  <c r="F182" i="5"/>
  <c r="H179" i="5"/>
  <c r="H178" i="5"/>
  <c r="H182" i="5" s="1"/>
  <c r="H164" i="5"/>
  <c r="H163" i="5"/>
  <c r="H103" i="5"/>
  <c r="G93" i="5"/>
  <c r="G94" i="5" s="1"/>
  <c r="G96" i="5" s="1"/>
  <c r="B76" i="5"/>
  <c r="D70" i="5"/>
  <c r="D71" i="5" s="1"/>
  <c r="D72" i="5" s="1"/>
  <c r="D73" i="5" s="1"/>
  <c r="D74" i="5" s="1"/>
  <c r="D75" i="5" s="1"/>
  <c r="D76" i="5" s="1"/>
  <c r="D77" i="5" s="1"/>
  <c r="D78" i="5" s="1"/>
  <c r="D79" i="5" s="1"/>
  <c r="D80" i="5" s="1"/>
  <c r="D81" i="5" s="1"/>
  <c r="D82" i="5" s="1"/>
  <c r="D83" i="5" s="1"/>
  <c r="D84" i="5" s="1"/>
  <c r="D85" i="5" s="1"/>
  <c r="D86" i="5" s="1"/>
  <c r="D87" i="5" s="1"/>
  <c r="D88" i="5" s="1"/>
  <c r="D89" i="5" s="1"/>
  <c r="D90" i="5" s="1"/>
  <c r="D91" i="5" s="1"/>
  <c r="D92" i="5" s="1"/>
  <c r="D93" i="5" s="1"/>
  <c r="D94" i="5" s="1"/>
  <c r="D95" i="5" s="1"/>
  <c r="D96" i="5" s="1"/>
  <c r="D97" i="5" s="1"/>
  <c r="D98" i="5" s="1"/>
  <c r="D99" i="5" s="1"/>
  <c r="D100" i="5" s="1"/>
  <c r="D101" i="5" s="1"/>
  <c r="D102" i="5" s="1"/>
  <c r="D103" i="5" s="1"/>
  <c r="D104" i="5" s="1"/>
  <c r="D105" i="5" s="1"/>
  <c r="D106" i="5" s="1"/>
  <c r="D107" i="5" s="1"/>
  <c r="D108" i="5" s="1"/>
  <c r="D109" i="5" s="1"/>
  <c r="D110" i="5" s="1"/>
  <c r="E52" i="5"/>
  <c r="B50" i="5"/>
  <c r="G49" i="5"/>
  <c r="G29" i="5"/>
  <c r="G74" i="5" s="1"/>
  <c r="H22" i="5"/>
  <c r="H25" i="5" s="1"/>
  <c r="H17" i="5"/>
  <c r="H18" i="5" s="1"/>
  <c r="E16" i="5"/>
  <c r="B8" i="5"/>
  <c r="B7" i="5"/>
  <c r="D3" i="5"/>
  <c r="D4" i="5" s="1"/>
  <c r="D5" i="5" s="1"/>
  <c r="D6" i="5" s="1"/>
  <c r="F182" i="4"/>
  <c r="H179" i="4"/>
  <c r="H178" i="4"/>
  <c r="H182" i="4" s="1"/>
  <c r="H164" i="4"/>
  <c r="H163" i="4"/>
  <c r="H103" i="4"/>
  <c r="G93" i="4"/>
  <c r="G94" i="4" s="1"/>
  <c r="G96" i="4" s="1"/>
  <c r="B76" i="4"/>
  <c r="D70" i="4"/>
  <c r="D71" i="4" s="1"/>
  <c r="D72" i="4" s="1"/>
  <c r="D73" i="4" s="1"/>
  <c r="D74" i="4" s="1"/>
  <c r="D75" i="4" s="1"/>
  <c r="D76" i="4" s="1"/>
  <c r="D77" i="4" s="1"/>
  <c r="D78" i="4" s="1"/>
  <c r="D79" i="4" s="1"/>
  <c r="D80" i="4" s="1"/>
  <c r="D81" i="4" s="1"/>
  <c r="D82" i="4" s="1"/>
  <c r="D83" i="4" s="1"/>
  <c r="D84" i="4" s="1"/>
  <c r="D85" i="4" s="1"/>
  <c r="D86" i="4" s="1"/>
  <c r="D87" i="4" s="1"/>
  <c r="D88" i="4" s="1"/>
  <c r="D89" i="4" s="1"/>
  <c r="D90" i="4" s="1"/>
  <c r="D91" i="4" s="1"/>
  <c r="D92" i="4" s="1"/>
  <c r="D93" i="4" s="1"/>
  <c r="D94" i="4" s="1"/>
  <c r="D95" i="4" s="1"/>
  <c r="D96" i="4" s="1"/>
  <c r="D97" i="4" s="1"/>
  <c r="D98" i="4" s="1"/>
  <c r="D99" i="4" s="1"/>
  <c r="D100" i="4" s="1"/>
  <c r="D101" i="4" s="1"/>
  <c r="D102" i="4" s="1"/>
  <c r="D103" i="4" s="1"/>
  <c r="D104" i="4" s="1"/>
  <c r="D105" i="4" s="1"/>
  <c r="D106" i="4" s="1"/>
  <c r="D107" i="4" s="1"/>
  <c r="D108" i="4" s="1"/>
  <c r="D109" i="4" s="1"/>
  <c r="D110" i="4" s="1"/>
  <c r="E52" i="4"/>
  <c r="B50" i="4"/>
  <c r="G49" i="4"/>
  <c r="G29" i="4"/>
  <c r="G74" i="4" s="1"/>
  <c r="E23" i="4"/>
  <c r="H22" i="4"/>
  <c r="H25" i="4" s="1"/>
  <c r="H17" i="4"/>
  <c r="H18" i="4" s="1"/>
  <c r="E16" i="4"/>
  <c r="D3" i="4"/>
  <c r="D4" i="4" s="1"/>
  <c r="D5" i="4" s="1"/>
  <c r="D6" i="4" s="1"/>
  <c r="F182" i="3"/>
  <c r="H179" i="3"/>
  <c r="H178" i="3"/>
  <c r="H182" i="3" s="1"/>
  <c r="H164" i="3"/>
  <c r="H163" i="3"/>
  <c r="H103" i="3"/>
  <c r="G93" i="3"/>
  <c r="G94" i="3" s="1"/>
  <c r="G96" i="3" s="1"/>
  <c r="B76" i="3"/>
  <c r="D70" i="3"/>
  <c r="D71" i="3" s="1"/>
  <c r="D72" i="3" s="1"/>
  <c r="D73" i="3" s="1"/>
  <c r="D74" i="3" s="1"/>
  <c r="D75" i="3" s="1"/>
  <c r="D76" i="3" s="1"/>
  <c r="D77" i="3" s="1"/>
  <c r="D78" i="3" s="1"/>
  <c r="D79" i="3" s="1"/>
  <c r="D80" i="3" s="1"/>
  <c r="D81" i="3" s="1"/>
  <c r="D82" i="3" s="1"/>
  <c r="D83" i="3" s="1"/>
  <c r="D84" i="3" s="1"/>
  <c r="D85" i="3" s="1"/>
  <c r="D86" i="3" s="1"/>
  <c r="D87" i="3" s="1"/>
  <c r="D88" i="3" s="1"/>
  <c r="D89" i="3" s="1"/>
  <c r="D90" i="3" s="1"/>
  <c r="D91" i="3" s="1"/>
  <c r="D92" i="3" s="1"/>
  <c r="D93" i="3" s="1"/>
  <c r="D94" i="3" s="1"/>
  <c r="D95" i="3" s="1"/>
  <c r="D96" i="3" s="1"/>
  <c r="D97" i="3" s="1"/>
  <c r="D98" i="3" s="1"/>
  <c r="D99" i="3" s="1"/>
  <c r="D100" i="3" s="1"/>
  <c r="D101" i="3" s="1"/>
  <c r="D102" i="3" s="1"/>
  <c r="D103" i="3" s="1"/>
  <c r="D104" i="3" s="1"/>
  <c r="D105" i="3" s="1"/>
  <c r="D106" i="3" s="1"/>
  <c r="D107" i="3" s="1"/>
  <c r="D108" i="3" s="1"/>
  <c r="D109" i="3" s="1"/>
  <c r="D110" i="3" s="1"/>
  <c r="E52" i="3"/>
  <c r="G49" i="3"/>
  <c r="G29" i="3"/>
  <c r="G74" i="3" s="1"/>
  <c r="H22" i="3"/>
  <c r="H25" i="3" s="1"/>
  <c r="H17" i="3"/>
  <c r="H18" i="3" s="1"/>
  <c r="D14" i="3"/>
  <c r="B8" i="3"/>
  <c r="B15" i="3" s="1"/>
  <c r="D3" i="3"/>
  <c r="D4" i="3" s="1"/>
  <c r="D5" i="3" s="1"/>
  <c r="D6" i="3" s="1"/>
  <c r="F182" i="2"/>
  <c r="H179" i="2"/>
  <c r="H178" i="2"/>
  <c r="H182" i="2" s="1"/>
  <c r="H164" i="2"/>
  <c r="H163" i="2"/>
  <c r="H103" i="2"/>
  <c r="G93" i="2"/>
  <c r="G94" i="2" s="1"/>
  <c r="G96" i="2" s="1"/>
  <c r="B76" i="2"/>
  <c r="D70" i="2"/>
  <c r="D71" i="2" s="1"/>
  <c r="D72" i="2" s="1"/>
  <c r="D73" i="2" s="1"/>
  <c r="D74" i="2" s="1"/>
  <c r="D75" i="2" s="1"/>
  <c r="D76" i="2" s="1"/>
  <c r="D77" i="2" s="1"/>
  <c r="D78" i="2" s="1"/>
  <c r="D79" i="2" s="1"/>
  <c r="D80" i="2" s="1"/>
  <c r="D81" i="2" s="1"/>
  <c r="D82" i="2" s="1"/>
  <c r="D83" i="2" s="1"/>
  <c r="D84" i="2" s="1"/>
  <c r="D85" i="2" s="1"/>
  <c r="D86" i="2" s="1"/>
  <c r="D87" i="2" s="1"/>
  <c r="D88" i="2" s="1"/>
  <c r="D89" i="2" s="1"/>
  <c r="D90" i="2" s="1"/>
  <c r="D91" i="2" s="1"/>
  <c r="D92" i="2" s="1"/>
  <c r="D93" i="2" s="1"/>
  <c r="D94" i="2" s="1"/>
  <c r="D95" i="2" s="1"/>
  <c r="D96" i="2" s="1"/>
  <c r="D97" i="2" s="1"/>
  <c r="D98" i="2" s="1"/>
  <c r="D99" i="2" s="1"/>
  <c r="D100" i="2" s="1"/>
  <c r="D101" i="2" s="1"/>
  <c r="D102" i="2" s="1"/>
  <c r="D103" i="2" s="1"/>
  <c r="D104" i="2" s="1"/>
  <c r="D105" i="2" s="1"/>
  <c r="D106" i="2" s="1"/>
  <c r="D107" i="2" s="1"/>
  <c r="D108" i="2" s="1"/>
  <c r="D109" i="2" s="1"/>
  <c r="D110" i="2" s="1"/>
  <c r="E52" i="2"/>
  <c r="G49" i="2"/>
  <c r="G29" i="2"/>
  <c r="G74" i="2" s="1"/>
  <c r="H22" i="2"/>
  <c r="H25" i="2" s="1"/>
  <c r="H17" i="2"/>
  <c r="H18" i="2" s="1"/>
  <c r="D14" i="2"/>
  <c r="B6" i="2"/>
  <c r="D3" i="2"/>
  <c r="D4" i="2" s="1"/>
  <c r="D5" i="2" s="1"/>
  <c r="D6" i="2" s="1"/>
  <c r="F138" i="1"/>
  <c r="H135" i="1"/>
  <c r="H134" i="1"/>
  <c r="H120" i="1"/>
  <c r="H119" i="1"/>
  <c r="B211" i="1"/>
  <c r="B179" i="1"/>
  <c r="H19" i="1"/>
  <c r="D168" i="1"/>
  <c r="B160" i="1"/>
  <c r="D157" i="1"/>
  <c r="D158" i="1" s="1"/>
  <c r="D159" i="1" s="1"/>
  <c r="T46" i="11" l="1"/>
  <c r="T47" i="11" s="1"/>
  <c r="S46" i="11"/>
  <c r="E44" i="11"/>
  <c r="E45" i="11" s="1"/>
  <c r="F44" i="11"/>
  <c r="F45" i="11" s="1"/>
  <c r="D44" i="11"/>
  <c r="D45" i="11" s="1"/>
  <c r="O44" i="11"/>
  <c r="O46" i="11" s="1"/>
  <c r="G44" i="11"/>
  <c r="G45" i="11" s="1"/>
  <c r="K44" i="11"/>
  <c r="K45" i="11" s="1"/>
  <c r="H44" i="11"/>
  <c r="H45" i="11" s="1"/>
  <c r="C44" i="11"/>
  <c r="R44" i="11"/>
  <c r="R46" i="11" s="1"/>
  <c r="I14" i="11"/>
  <c r="I44" i="11"/>
  <c r="C45" i="11"/>
  <c r="C46" i="11"/>
  <c r="C47" i="11" s="1"/>
  <c r="J14" i="11"/>
  <c r="J44" i="11"/>
  <c r="J45" i="11" s="1"/>
  <c r="H138" i="1"/>
  <c r="D160" i="1"/>
  <c r="AB65" i="22"/>
  <c r="AC65" i="22"/>
  <c r="AC68" i="22" s="1"/>
  <c r="P45" i="11"/>
  <c r="S45" i="11"/>
  <c r="R45" i="11"/>
  <c r="M45" i="11"/>
  <c r="N45" i="11"/>
  <c r="B111" i="2"/>
  <c r="F102" i="2"/>
  <c r="B111" i="3"/>
  <c r="F102" i="3"/>
  <c r="B54" i="4"/>
  <c r="F102" i="4" s="1"/>
  <c r="B111" i="4"/>
  <c r="B54" i="5"/>
  <c r="F102" i="5" s="1"/>
  <c r="B111" i="5"/>
  <c r="F102" i="7"/>
  <c r="B111" i="7"/>
  <c r="D54" i="8"/>
  <c r="D55" i="8" s="1"/>
  <c r="D56" i="8" s="1"/>
  <c r="D57" i="8" s="1"/>
  <c r="D58" i="8" s="1"/>
  <c r="D59" i="8" s="1"/>
  <c r="D60" i="8" s="1"/>
  <c r="D61" i="8" s="1"/>
  <c r="B111" i="8"/>
  <c r="B111" i="9"/>
  <c r="B111" i="10"/>
  <c r="AI5" i="11"/>
  <c r="AI6" i="11"/>
  <c r="AI7" i="11"/>
  <c r="AI8" i="11"/>
  <c r="AI12" i="11"/>
  <c r="AI11" i="11"/>
  <c r="AI10" i="11"/>
  <c r="AI9" i="11"/>
  <c r="AL21" i="11"/>
  <c r="AK21" i="11"/>
  <c r="AH27" i="11"/>
  <c r="AI23" i="11"/>
  <c r="AI24" i="11"/>
  <c r="AI25" i="11"/>
  <c r="B111" i="13"/>
  <c r="B111" i="14"/>
  <c r="D24" i="16"/>
  <c r="D25" i="16" s="1"/>
  <c r="D26" i="16" s="1"/>
  <c r="D27" i="16" s="1"/>
  <c r="D28" i="16" s="1"/>
  <c r="D29" i="16" s="1"/>
  <c r="D30" i="16" s="1"/>
  <c r="D31" i="16" s="1"/>
  <c r="D32" i="16" s="1"/>
  <c r="D33" i="16" s="1"/>
  <c r="D34" i="16" s="1"/>
  <c r="D35" i="16" s="1"/>
  <c r="D36" i="16" s="1"/>
  <c r="D37" i="16" s="1"/>
  <c r="D38" i="16" s="1"/>
  <c r="D39" i="16" s="1"/>
  <c r="D40" i="16" s="1"/>
  <c r="D41" i="16" s="1"/>
  <c r="D42" i="16" s="1"/>
  <c r="D43" i="16" s="1"/>
  <c r="D44" i="16" s="1"/>
  <c r="D45" i="16" s="1"/>
  <c r="D46" i="16" s="1"/>
  <c r="D47" i="16" s="1"/>
  <c r="D48" i="16" s="1"/>
  <c r="D49" i="16" s="1"/>
  <c r="D50" i="16" s="1"/>
  <c r="D51" i="16" s="1"/>
  <c r="D52" i="16" s="1"/>
  <c r="D53" i="16" s="1"/>
  <c r="D54" i="16" s="1"/>
  <c r="D55" i="16" s="1"/>
  <c r="D56" i="16" s="1"/>
  <c r="D57" i="16" s="1"/>
  <c r="D58" i="16" s="1"/>
  <c r="D59" i="16" s="1"/>
  <c r="D60" i="16" s="1"/>
  <c r="D61" i="16" s="1"/>
  <c r="D62" i="16" s="1"/>
  <c r="D63" i="16" s="1"/>
  <c r="D64" i="16" s="1"/>
  <c r="D65" i="16" s="1"/>
  <c r="D66" i="16" s="1"/>
  <c r="D67" i="16" s="1"/>
  <c r="D68" i="16" s="1"/>
  <c r="D69" i="16" s="1"/>
  <c r="D70" i="16" s="1"/>
  <c r="D71" i="16" s="1"/>
  <c r="D72" i="16" s="1"/>
  <c r="D73" i="16" s="1"/>
  <c r="D74" i="16" s="1"/>
  <c r="D75" i="16" s="1"/>
  <c r="D76" i="16" s="1"/>
  <c r="D77" i="16" s="1"/>
  <c r="D78" i="16" s="1"/>
  <c r="D79" i="16" s="1"/>
  <c r="D80" i="16" s="1"/>
  <c r="D81" i="16" s="1"/>
  <c r="D82" i="16" s="1"/>
  <c r="D83" i="16" s="1"/>
  <c r="D23" i="16"/>
  <c r="D24" i="17"/>
  <c r="D25" i="17" s="1"/>
  <c r="D26" i="17" s="1"/>
  <c r="D27" i="17" s="1"/>
  <c r="D28" i="17" s="1"/>
  <c r="D29" i="17" s="1"/>
  <c r="D30" i="17" s="1"/>
  <c r="D31" i="17" s="1"/>
  <c r="D32" i="17" s="1"/>
  <c r="D33" i="17" s="1"/>
  <c r="D34" i="17" s="1"/>
  <c r="D35" i="17" s="1"/>
  <c r="D36" i="17" s="1"/>
  <c r="D37" i="17" s="1"/>
  <c r="D38" i="17" s="1"/>
  <c r="D39" i="17" s="1"/>
  <c r="D40" i="17" s="1"/>
  <c r="D41" i="17" s="1"/>
  <c r="D42" i="17" s="1"/>
  <c r="D43" i="17" s="1"/>
  <c r="D44" i="17" s="1"/>
  <c r="D45" i="17" s="1"/>
  <c r="D46" i="17" s="1"/>
  <c r="D47" i="17" s="1"/>
  <c r="D48" i="17" s="1"/>
  <c r="D49" i="17" s="1"/>
  <c r="D50" i="17" s="1"/>
  <c r="D51" i="17" s="1"/>
  <c r="D52" i="17" s="1"/>
  <c r="D53" i="17" s="1"/>
  <c r="D54" i="17" s="1"/>
  <c r="D55" i="17" s="1"/>
  <c r="D56" i="17" s="1"/>
  <c r="D57" i="17" s="1"/>
  <c r="D58" i="17" s="1"/>
  <c r="D59" i="17" s="1"/>
  <c r="D60" i="17" s="1"/>
  <c r="D61" i="17" s="1"/>
  <c r="D62" i="17" s="1"/>
  <c r="D63" i="17" s="1"/>
  <c r="D64" i="17" s="1"/>
  <c r="D65" i="17" s="1"/>
  <c r="D66" i="17" s="1"/>
  <c r="D67" i="17" s="1"/>
  <c r="D68" i="17" s="1"/>
  <c r="D69" i="17" s="1"/>
  <c r="D70" i="17" s="1"/>
  <c r="D71" i="17" s="1"/>
  <c r="D72" i="17" s="1"/>
  <c r="D73" i="17" s="1"/>
  <c r="D74" i="17" s="1"/>
  <c r="D75" i="17" s="1"/>
  <c r="D76" i="17" s="1"/>
  <c r="D77" i="17" s="1"/>
  <c r="D78" i="17" s="1"/>
  <c r="D79" i="17" s="1"/>
  <c r="D80" i="17" s="1"/>
  <c r="D81" i="17" s="1"/>
  <c r="D82" i="17" s="1"/>
  <c r="D83" i="17" s="1"/>
  <c r="D23" i="17"/>
  <c r="D26" i="20"/>
  <c r="D27" i="20" s="1"/>
  <c r="D28" i="20" s="1"/>
  <c r="D29" i="20" s="1"/>
  <c r="D30" i="20" s="1"/>
  <c r="D31" i="20" s="1"/>
  <c r="D32" i="20" s="1"/>
  <c r="D33" i="20" s="1"/>
  <c r="D34" i="20" s="1"/>
  <c r="D35" i="20" s="1"/>
  <c r="D36" i="20" s="1"/>
  <c r="D37" i="20" s="1"/>
  <c r="D38" i="20" s="1"/>
  <c r="D39" i="20" s="1"/>
  <c r="D40" i="20" s="1"/>
  <c r="D41" i="20" s="1"/>
  <c r="D42" i="20" s="1"/>
  <c r="D43" i="20" s="1"/>
  <c r="D44" i="20" s="1"/>
  <c r="D45" i="20" s="1"/>
  <c r="D46" i="20" s="1"/>
  <c r="D47" i="20" s="1"/>
  <c r="D48" i="20" s="1"/>
  <c r="D49" i="20" s="1"/>
  <c r="D50" i="20" s="1"/>
  <c r="D51" i="20" s="1"/>
  <c r="D25" i="20"/>
  <c r="D84" i="20"/>
  <c r="D85" i="20" s="1"/>
  <c r="D86" i="20" s="1"/>
  <c r="D87" i="20" s="1"/>
  <c r="D88" i="20" s="1"/>
  <c r="D89" i="20" s="1"/>
  <c r="D90" i="20" s="1"/>
  <c r="D91" i="20" s="1"/>
  <c r="D92" i="20" s="1"/>
  <c r="D93" i="20" s="1"/>
  <c r="D94" i="20" s="1"/>
  <c r="D95" i="20" s="1"/>
  <c r="D96" i="20" s="1"/>
  <c r="D97" i="20" s="1"/>
  <c r="D98" i="20" s="1"/>
  <c r="D99" i="20" s="1"/>
  <c r="D100" i="20" s="1"/>
  <c r="D101" i="20" s="1"/>
  <c r="D102" i="20" s="1"/>
  <c r="D103" i="20" s="1"/>
  <c r="D104" i="20" s="1"/>
  <c r="D105" i="20" s="1"/>
  <c r="D106" i="20" s="1"/>
  <c r="D107" i="20" s="1"/>
  <c r="D108" i="20" s="1"/>
  <c r="D109" i="20" s="1"/>
  <c r="D83" i="20"/>
  <c r="P46" i="11" l="1"/>
  <c r="I46" i="11"/>
  <c r="I47" i="11" s="1"/>
  <c r="I45" i="11"/>
  <c r="O47" i="11"/>
  <c r="F46" i="11"/>
  <c r="F47" i="11" s="1"/>
  <c r="K46" i="11"/>
  <c r="K47" i="11" s="1"/>
  <c r="E46" i="11"/>
  <c r="E47" i="11" s="1"/>
  <c r="Q47" i="11"/>
  <c r="Q45" i="11"/>
  <c r="P47" i="11"/>
  <c r="R47" i="11"/>
  <c r="D46" i="11"/>
  <c r="D47" i="11" s="1"/>
  <c r="H46" i="11"/>
  <c r="H47" i="11" s="1"/>
  <c r="O45" i="11"/>
  <c r="G46" i="11"/>
  <c r="G47" i="11" s="1"/>
  <c r="N46" i="11"/>
  <c r="N47" i="11" s="1"/>
  <c r="S47" i="11"/>
  <c r="D111" i="14"/>
  <c r="D112" i="14" s="1"/>
  <c r="D113" i="14" s="1"/>
  <c r="D114" i="14" s="1"/>
  <c r="B115" i="14"/>
  <c r="D111" i="13"/>
  <c r="D112" i="13" s="1"/>
  <c r="D113" i="13" s="1"/>
  <c r="D114" i="13" s="1"/>
  <c r="B115" i="13"/>
  <c r="AJ25" i="11"/>
  <c r="AJ24" i="11"/>
  <c r="AJ23" i="11"/>
  <c r="AI22" i="11"/>
  <c r="AJ9" i="11"/>
  <c r="AK9" i="11"/>
  <c r="AJ10" i="11"/>
  <c r="AK10" i="11"/>
  <c r="AJ11" i="11"/>
  <c r="AK11" i="11"/>
  <c r="AJ12" i="11"/>
  <c r="AK12" i="11"/>
  <c r="AJ8" i="11"/>
  <c r="AK8" i="11"/>
  <c r="AJ7" i="11"/>
  <c r="AK7" i="11"/>
  <c r="AJ6" i="11"/>
  <c r="AK6" i="11"/>
  <c r="AI13" i="11"/>
  <c r="AJ13" i="11" s="1"/>
  <c r="AJ5" i="11"/>
  <c r="AK5" i="11"/>
  <c r="AL5" i="11" s="1"/>
  <c r="L45" i="11"/>
  <c r="M46" i="11"/>
  <c r="M47" i="11" s="1"/>
  <c r="D111" i="10"/>
  <c r="D112" i="10" s="1"/>
  <c r="D113" i="10" s="1"/>
  <c r="D114" i="10" s="1"/>
  <c r="B115" i="10"/>
  <c r="D111" i="9"/>
  <c r="D112" i="9" s="1"/>
  <c r="D113" i="9" s="1"/>
  <c r="D114" i="9" s="1"/>
  <c r="B115" i="9"/>
  <c r="D111" i="8"/>
  <c r="D112" i="8" s="1"/>
  <c r="D113" i="8" s="1"/>
  <c r="D114" i="8" s="1"/>
  <c r="B115" i="8"/>
  <c r="D111" i="7"/>
  <c r="D112" i="7" s="1"/>
  <c r="D113" i="7" s="1"/>
  <c r="D114" i="7" s="1"/>
  <c r="B115" i="7"/>
  <c r="D111" i="5"/>
  <c r="D112" i="5" s="1"/>
  <c r="D113" i="5" s="1"/>
  <c r="D114" i="5" s="1"/>
  <c r="B115" i="5"/>
  <c r="D111" i="4"/>
  <c r="D112" i="4" s="1"/>
  <c r="D113" i="4" s="1"/>
  <c r="D114" i="4" s="1"/>
  <c r="B115" i="4"/>
  <c r="D111" i="3"/>
  <c r="D112" i="3" s="1"/>
  <c r="D113" i="3" s="1"/>
  <c r="D114" i="3" s="1"/>
  <c r="B115" i="3"/>
  <c r="D111" i="2"/>
  <c r="D112" i="2" s="1"/>
  <c r="D113" i="2" s="1"/>
  <c r="D114" i="2" s="1"/>
  <c r="B115" i="2"/>
  <c r="AL9" i="11" l="1"/>
  <c r="AM10" i="11"/>
  <c r="AN10" i="11"/>
  <c r="AM9" i="11"/>
  <c r="AN9" i="11"/>
  <c r="AM11" i="11"/>
  <c r="AN11" i="11"/>
  <c r="AM12" i="11"/>
  <c r="AN12" i="11"/>
  <c r="D115" i="2"/>
  <c r="D116" i="2" s="1"/>
  <c r="D117" i="2" s="1"/>
  <c r="D118" i="2" s="1"/>
  <c r="D115" i="3"/>
  <c r="D116" i="3" s="1"/>
  <c r="D117" i="3" s="1"/>
  <c r="D118" i="3" s="1"/>
  <c r="D115" i="4"/>
  <c r="D116" i="4" s="1"/>
  <c r="D117" i="4" s="1"/>
  <c r="D118" i="4" s="1"/>
  <c r="D115" i="5"/>
  <c r="D116" i="5" s="1"/>
  <c r="D117" i="5" s="1"/>
  <c r="D118" i="5" s="1"/>
  <c r="D115" i="7"/>
  <c r="D116" i="7" s="1"/>
  <c r="D117" i="7" s="1"/>
  <c r="D118" i="7" s="1"/>
  <c r="D115" i="8"/>
  <c r="D116" i="8" s="1"/>
  <c r="D117" i="8" s="1"/>
  <c r="D118" i="8" s="1"/>
  <c r="D115" i="9"/>
  <c r="D116" i="9" s="1"/>
  <c r="D117" i="9" s="1"/>
  <c r="D118" i="9" s="1"/>
  <c r="D115" i="10"/>
  <c r="D116" i="10" s="1"/>
  <c r="D117" i="10" s="1"/>
  <c r="D118" i="10" s="1"/>
  <c r="AN5" i="11"/>
  <c r="AM5" i="11"/>
  <c r="AN6" i="11"/>
  <c r="AM6" i="11"/>
  <c r="AL6" i="11"/>
  <c r="AL10" i="11" s="1"/>
  <c r="AN7" i="11"/>
  <c r="AM7" i="11"/>
  <c r="AL7" i="11"/>
  <c r="AL11" i="11" s="1"/>
  <c r="AN8" i="11"/>
  <c r="AM8" i="11"/>
  <c r="AL8" i="11"/>
  <c r="AL12" i="11" s="1"/>
  <c r="AI27" i="11"/>
  <c r="AJ22" i="11"/>
  <c r="AM23" i="11"/>
  <c r="AL23" i="11"/>
  <c r="AK23" i="11"/>
  <c r="AM24" i="11"/>
  <c r="AL24" i="11"/>
  <c r="AK24" i="11"/>
  <c r="AM25" i="11"/>
  <c r="AL25" i="11"/>
  <c r="AK25" i="11"/>
  <c r="D115" i="13"/>
  <c r="D116" i="13" s="1"/>
  <c r="D117" i="13" s="1"/>
  <c r="D118" i="13" s="1"/>
  <c r="D115" i="14"/>
  <c r="D116" i="14" s="1"/>
  <c r="D117" i="14" s="1"/>
  <c r="D118" i="14" s="1"/>
  <c r="AM22" i="11" l="1"/>
  <c r="AM27" i="11" s="1"/>
  <c r="AN30" i="11" s="1"/>
  <c r="AL22" i="11"/>
  <c r="AL27" i="11" s="1"/>
  <c r="AK22" i="11"/>
  <c r="AK27" i="11" s="1"/>
  <c r="AL30" i="11" s="1"/>
  <c r="AL13" i="11"/>
  <c r="AM13" i="11"/>
  <c r="AN13" i="11"/>
  <c r="AJ27" i="11" l="1"/>
  <c r="C45" i="1"/>
  <c r="J46" i="11"/>
  <c r="J47" i="11" s="1"/>
</calcChain>
</file>

<file path=xl/comments1.xml><?xml version="1.0" encoding="utf-8"?>
<comments xmlns="http://schemas.openxmlformats.org/spreadsheetml/2006/main">
  <authors>
    <author>USER</author>
  </authors>
  <commentList>
    <comment ref="V163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<sst xmlns="http://schemas.openxmlformats.org/spreadsheetml/2006/main" count="3560" uniqueCount="1058">
  <si>
    <t>CONTROL  INGRESOS GASTOS</t>
  </si>
  <si>
    <t>FECHA</t>
  </si>
  <si>
    <t>MONTO</t>
  </si>
  <si>
    <t>DESCRIPCION</t>
  </si>
  <si>
    <t>presupuesto mensual</t>
  </si>
  <si>
    <t>trabajos ensueño</t>
  </si>
  <si>
    <t>gasolina</t>
  </si>
  <si>
    <t>supermercado</t>
  </si>
  <si>
    <t>pintura vm</t>
  </si>
  <si>
    <t>entertainment</t>
  </si>
  <si>
    <t>pingüino</t>
  </si>
  <si>
    <t>celular e internet, edenorte</t>
  </si>
  <si>
    <t>rp camisetas</t>
  </si>
  <si>
    <t>mantenimiento</t>
  </si>
  <si>
    <t>pintura calzada</t>
  </si>
  <si>
    <t>ayudante</t>
  </si>
  <si>
    <t>mercadeo rp</t>
  </si>
  <si>
    <t>5 dias</t>
  </si>
  <si>
    <t>musica</t>
  </si>
  <si>
    <t>ferreteria</t>
  </si>
  <si>
    <t>dominio</t>
  </si>
  <si>
    <t>limpieza casa</t>
  </si>
  <si>
    <t>impresión taller</t>
  </si>
  <si>
    <t>miscelaneas</t>
  </si>
  <si>
    <t>club arroyo hondo</t>
  </si>
  <si>
    <t>dry cleaner</t>
  </si>
  <si>
    <t>ensueño calle</t>
  </si>
  <si>
    <t>total</t>
  </si>
  <si>
    <t>macbook</t>
  </si>
  <si>
    <t>usd equivalente</t>
  </si>
  <si>
    <t>trabajo</t>
  </si>
  <si>
    <t>trabajador</t>
  </si>
  <si>
    <t>comida</t>
  </si>
  <si>
    <t>mei</t>
  </si>
  <si>
    <t>mechy</t>
  </si>
  <si>
    <t>foto hnas</t>
  </si>
  <si>
    <t xml:space="preserve">lamparas </t>
  </si>
  <si>
    <t>super</t>
  </si>
  <si>
    <t>altice</t>
  </si>
  <si>
    <t>venta</t>
  </si>
  <si>
    <t>agroveterinaria</t>
  </si>
  <si>
    <t>Impuestos inmobiliario</t>
  </si>
  <si>
    <t>dermatologico</t>
  </si>
  <si>
    <t>Rafelito</t>
  </si>
  <si>
    <t>6 Cuotas mantenimiento pendientes</t>
  </si>
  <si>
    <t>aire pedregal</t>
  </si>
  <si>
    <t>inversor pedregal</t>
  </si>
  <si>
    <t>titulo catastro</t>
  </si>
  <si>
    <t>neto</t>
  </si>
  <si>
    <t>Angela</t>
  </si>
  <si>
    <t>Avance</t>
  </si>
  <si>
    <t>tinaco</t>
  </si>
  <si>
    <t>Pendiente</t>
  </si>
  <si>
    <t>restaurant</t>
  </si>
  <si>
    <t>rdempleos scraper</t>
  </si>
  <si>
    <t>rdempleos parser</t>
  </si>
  <si>
    <t>trasplante</t>
  </si>
  <si>
    <t>encuentro ajedrez</t>
  </si>
  <si>
    <t>rp microfonos</t>
  </si>
  <si>
    <t>nivelación ensueño</t>
  </si>
  <si>
    <t>rp mercadeo</t>
  </si>
  <si>
    <t>villa mercedes</t>
  </si>
  <si>
    <t>nivelación don jose</t>
  </si>
  <si>
    <t>agrimensura don jose</t>
  </si>
  <si>
    <t>alambres cerca don jose</t>
  </si>
  <si>
    <t>titulos ensueño</t>
  </si>
  <si>
    <t>cerca don jose</t>
  </si>
  <si>
    <t>salario mercadeo</t>
  </si>
  <si>
    <t>boda</t>
  </si>
  <si>
    <t>alambre ensueño</t>
  </si>
  <si>
    <t>varios vm</t>
  </si>
  <si>
    <t>pintura epoxica vm</t>
  </si>
  <si>
    <t>trabajador vm</t>
  </si>
  <si>
    <t>trabajos don jose</t>
  </si>
  <si>
    <t>montecristi</t>
  </si>
  <si>
    <t>empleo rp</t>
  </si>
  <si>
    <t>salinas</t>
  </si>
  <si>
    <t>ingresos</t>
  </si>
  <si>
    <t>ssa</t>
  </si>
  <si>
    <t>intereses</t>
  </si>
  <si>
    <t>Gastos Don José</t>
  </si>
  <si>
    <t>tubos</t>
  </si>
  <si>
    <t>transporte tubos</t>
  </si>
  <si>
    <t>zanja tubo</t>
  </si>
  <si>
    <t>materiales</t>
  </si>
  <si>
    <t>avance cabezal</t>
  </si>
  <si>
    <t>grava</t>
  </si>
  <si>
    <t>Residencial El Ensueño</t>
  </si>
  <si>
    <t>Solar</t>
  </si>
  <si>
    <t>Area</t>
  </si>
  <si>
    <t>michael rp taxi</t>
  </si>
  <si>
    <t>Olainy rpplaza + 5 días</t>
  </si>
  <si>
    <t>VM</t>
  </si>
  <si>
    <t>adelanto trabajador vm</t>
  </si>
  <si>
    <t>basura vm</t>
  </si>
  <si>
    <t>rptaxi abdul</t>
  </si>
  <si>
    <t>agrimensor ensueño</t>
  </si>
  <si>
    <t>michael rptaxi</t>
  </si>
  <si>
    <t>abdul</t>
  </si>
  <si>
    <t>accion trabajo cvs</t>
  </si>
  <si>
    <t>trabajo ensueño</t>
  </si>
  <si>
    <t>trabajos vm</t>
  </si>
  <si>
    <t>pintura ensueño</t>
  </si>
  <si>
    <t>terreno pala don jose</t>
  </si>
  <si>
    <t>banreservas</t>
  </si>
  <si>
    <t>ensueño</t>
  </si>
  <si>
    <t>efectivo</t>
  </si>
  <si>
    <t>don jose</t>
  </si>
  <si>
    <t>salario Michel</t>
  </si>
  <si>
    <t>adelanto domingo ya le he dado 45mil</t>
  </si>
  <si>
    <t>avance muro rio</t>
  </si>
  <si>
    <t>porton ensueño</t>
  </si>
  <si>
    <t>ensueño avance albañil</t>
  </si>
  <si>
    <t>ferreteria ensueño</t>
  </si>
  <si>
    <t>ferreteria vm</t>
  </si>
  <si>
    <t>nevera</t>
  </si>
  <si>
    <t>laptop rosa</t>
  </si>
  <si>
    <t>rptaxi</t>
  </si>
  <si>
    <t>cassima rp</t>
  </si>
  <si>
    <t>vm</t>
  </si>
  <si>
    <t>pollos vm</t>
  </si>
  <si>
    <t>julian vm</t>
  </si>
  <si>
    <t>cemento arena vm</t>
  </si>
  <si>
    <t>calentador VM</t>
  </si>
  <si>
    <t>vm cementado</t>
  </si>
  <si>
    <t>ensueño limpieza</t>
  </si>
  <si>
    <t>ensueño pintura</t>
  </si>
  <si>
    <t>vm ferreteria</t>
  </si>
  <si>
    <t>matas ensueño</t>
  </si>
  <si>
    <t>CONTABILIDAD RED POSITIVA</t>
  </si>
  <si>
    <t>Fecha</t>
  </si>
  <si>
    <t>Débito / Crédito</t>
  </si>
  <si>
    <t>ITEBIS</t>
  </si>
  <si>
    <t>RNC EMISOR</t>
  </si>
  <si>
    <t>NCF</t>
  </si>
  <si>
    <t>Concepto</t>
  </si>
  <si>
    <t>Balance</t>
  </si>
  <si>
    <t>Gastos</t>
  </si>
  <si>
    <t>Préstamo Inversión JMS</t>
  </si>
  <si>
    <t>onapi redpositiva</t>
  </si>
  <si>
    <t>scrape of supercarros</t>
  </si>
  <si>
    <t>sello RP</t>
  </si>
  <si>
    <t>registros onapi rdempleos dos vece</t>
  </si>
  <si>
    <t>constitucion srl</t>
  </si>
  <si>
    <t>dominio rpplaza</t>
  </si>
  <si>
    <t>hosting temok</t>
  </si>
  <si>
    <t>hosting rdempleos</t>
  </si>
  <si>
    <t>domain rdempleos</t>
  </si>
  <si>
    <t>domain redpositiva.net</t>
  </si>
  <si>
    <t>celulares whatsapp business</t>
  </si>
  <si>
    <t>logo</t>
  </si>
  <si>
    <t>soporte rptaxi</t>
  </si>
  <si>
    <t>app rptaxi</t>
  </si>
  <si>
    <t>plugin clasima</t>
  </si>
  <si>
    <t>cassima</t>
  </si>
  <si>
    <t>asistente rpplaza</t>
  </si>
  <si>
    <t>canva</t>
  </si>
  <si>
    <t>B0100057940</t>
  </si>
  <si>
    <t>publicidad plaza libre</t>
  </si>
  <si>
    <t>registro compañía</t>
  </si>
  <si>
    <t>E310000130716</t>
  </si>
  <si>
    <t>almacenes unidos</t>
  </si>
  <si>
    <t>E310003986772</t>
  </si>
  <si>
    <t>la sirena</t>
  </si>
  <si>
    <t>salario rpplaza marketing</t>
  </si>
  <si>
    <t>E310000095567</t>
  </si>
  <si>
    <t>supermercado ole</t>
  </si>
  <si>
    <t>google play account</t>
  </si>
  <si>
    <t>rp google play</t>
  </si>
  <si>
    <t>B0100082450</t>
  </si>
  <si>
    <t>centro ferretero gigante</t>
  </si>
  <si>
    <t>rptaxi app development</t>
  </si>
  <si>
    <t>rp taxi</t>
  </si>
  <si>
    <t>E310003989546</t>
  </si>
  <si>
    <t>sirena</t>
  </si>
  <si>
    <t>E310001165502</t>
  </si>
  <si>
    <t>B0100016118</t>
  </si>
  <si>
    <t>plaza mei</t>
  </si>
  <si>
    <t>salario rptaxi</t>
  </si>
  <si>
    <t>camisetas</t>
  </si>
  <si>
    <t>taller sta ana</t>
  </si>
  <si>
    <t>certificados taller</t>
  </si>
  <si>
    <t xml:space="preserve">RPTAXI  </t>
  </si>
  <si>
    <t>TMOK</t>
  </si>
  <si>
    <t>invidio</t>
  </si>
  <si>
    <t>taxes wilson</t>
  </si>
  <si>
    <t>sello rp</t>
  </si>
  <si>
    <t>regalos ellas</t>
  </si>
  <si>
    <t>arena ensueño</t>
  </si>
  <si>
    <t>radiador pingüino</t>
  </si>
  <si>
    <t>edenorte</t>
  </si>
  <si>
    <t>gallinero</t>
  </si>
  <si>
    <t>pizza</t>
  </si>
  <si>
    <t>aire pingüino</t>
  </si>
  <si>
    <t>trabajos ensue;o</t>
  </si>
  <si>
    <t>hotel majagual</t>
  </si>
  <si>
    <t>cena majagual</t>
  </si>
  <si>
    <t>compra detergentes</t>
  </si>
  <si>
    <t>impuestos ensueño</t>
  </si>
  <si>
    <t>arena muro ensueño</t>
  </si>
  <si>
    <t>Mechy</t>
  </si>
  <si>
    <t>celulares erp</t>
  </si>
  <si>
    <t>impuestos don jose</t>
  </si>
  <si>
    <t>viaje ensueño</t>
  </si>
  <si>
    <t>playa</t>
  </si>
  <si>
    <t>agrimensura ensueño</t>
  </si>
  <si>
    <t>medicina</t>
  </si>
  <si>
    <t>plugin rp</t>
  </si>
  <si>
    <t>reunion grupo ucdm</t>
  </si>
  <si>
    <t>trabajador ensueño</t>
  </si>
  <si>
    <t>aporte al guardián vm</t>
  </si>
  <si>
    <t>bateria pingüino</t>
  </si>
  <si>
    <t>avance domingo pala</t>
  </si>
  <si>
    <t>ensueño materiales ferr</t>
  </si>
  <si>
    <t>control remoto</t>
  </si>
  <si>
    <t>mant villa mercedes</t>
  </si>
  <si>
    <t>materiales porton ensueño</t>
  </si>
  <si>
    <t>avance porton ensueño restan 65mil+</t>
  </si>
  <si>
    <t>miguel yuboa</t>
  </si>
  <si>
    <t>Total</t>
  </si>
  <si>
    <t>peaje</t>
  </si>
  <si>
    <t>pintura anexo</t>
  </si>
  <si>
    <t>jose y cabito</t>
  </si>
  <si>
    <t>farmacia</t>
  </si>
  <si>
    <t>plástico gallinero</t>
  </si>
  <si>
    <t>lavadora</t>
  </si>
  <si>
    <t>pollo rey san cristobal</t>
  </si>
  <si>
    <t>anillo</t>
  </si>
  <si>
    <t>cementado gallinero</t>
  </si>
  <si>
    <t>clinica</t>
  </si>
  <si>
    <t>medicamento mama danny</t>
  </si>
  <si>
    <t>viajes proyecto ensueño</t>
  </si>
  <si>
    <t>adelanto agrimensura ensueño</t>
  </si>
  <si>
    <t>arreglo calle Yuboa</t>
  </si>
  <si>
    <t>compra terreno ensueño</t>
  </si>
  <si>
    <t>helados</t>
  </si>
  <si>
    <t>botes don jose</t>
  </si>
  <si>
    <t>bizcocho</t>
  </si>
  <si>
    <t>asistencia ensueño</t>
  </si>
  <si>
    <t>Balance dólares Scotia</t>
  </si>
  <si>
    <t>Balance dólares Reservas</t>
  </si>
  <si>
    <t>Balance dólares Popular</t>
  </si>
  <si>
    <t>Citibank</t>
  </si>
  <si>
    <t>Balance Pesos Reservas</t>
  </si>
  <si>
    <t>Efectivo Pesos</t>
  </si>
  <si>
    <t>hotel bayahibe</t>
  </si>
  <si>
    <t>doctora</t>
  </si>
  <si>
    <t>medicamentos</t>
  </si>
  <si>
    <t>pistola pintar</t>
  </si>
  <si>
    <t>sillas</t>
  </si>
  <si>
    <t>plaza merengue</t>
  </si>
  <si>
    <t>plaza pamelias</t>
  </si>
  <si>
    <t>bon enriquillo</t>
  </si>
  <si>
    <t>ferreteria pintura</t>
  </si>
  <si>
    <t>onapi</t>
  </si>
  <si>
    <t>marbete</t>
  </si>
  <si>
    <t>rest juan dolio</t>
  </si>
  <si>
    <t>ESTADO DE SITUACIÓN A FIN DE MES</t>
  </si>
  <si>
    <t>Abril</t>
  </si>
  <si>
    <t xml:space="preserve">Mayo </t>
  </si>
  <si>
    <t xml:space="preserve">Junio </t>
  </si>
  <si>
    <t xml:space="preserve">Julio </t>
  </si>
  <si>
    <t>Agosto</t>
  </si>
  <si>
    <t>Sept</t>
  </si>
  <si>
    <t>Octubre</t>
  </si>
  <si>
    <t>Noviembre</t>
  </si>
  <si>
    <t>Diciembre</t>
  </si>
  <si>
    <t>Enero</t>
  </si>
  <si>
    <t>Febrero</t>
  </si>
  <si>
    <t>Marzo</t>
  </si>
  <si>
    <t>Mayo</t>
  </si>
  <si>
    <t>Junio</t>
  </si>
  <si>
    <t>Julio</t>
  </si>
  <si>
    <t>Septiembre</t>
  </si>
  <si>
    <t>Efectivo</t>
  </si>
  <si>
    <t>Banreservas dop</t>
  </si>
  <si>
    <t>Banreservas RP dop</t>
  </si>
  <si>
    <t>`</t>
  </si>
  <si>
    <t>Banreservas USD</t>
  </si>
  <si>
    <t>Popular usd</t>
  </si>
  <si>
    <t>Citibank usd</t>
  </si>
  <si>
    <t>total en dolares</t>
  </si>
  <si>
    <t>Balance efectivo DOP</t>
  </si>
  <si>
    <t>Villa Mercedes DOP</t>
  </si>
  <si>
    <t>Don José</t>
  </si>
  <si>
    <t>RED POSITIVA DOP</t>
  </si>
  <si>
    <t>Ensueño DOP</t>
  </si>
  <si>
    <t>Balance en dólares</t>
  </si>
  <si>
    <t>Equivalente US-DOP</t>
  </si>
  <si>
    <t>Villa Mercedes USD</t>
  </si>
  <si>
    <t>RED POSITIVA USD</t>
  </si>
  <si>
    <t>Ensueño USD</t>
  </si>
  <si>
    <t>Payano DOP</t>
  </si>
  <si>
    <t>Payano USD</t>
  </si>
  <si>
    <t>Pingüino DOP</t>
  </si>
  <si>
    <t>El Zorro DOP</t>
  </si>
  <si>
    <t>Pingüino USD</t>
  </si>
  <si>
    <t>El Zorro USD</t>
  </si>
  <si>
    <t>Balance USD</t>
  </si>
  <si>
    <t>Balance DOP</t>
  </si>
  <si>
    <t>Diferencia usd</t>
  </si>
  <si>
    <t>Diferencia dop</t>
  </si>
  <si>
    <t>interés</t>
  </si>
  <si>
    <t>cuotas</t>
  </si>
  <si>
    <t>Tamaño mts2</t>
  </si>
  <si>
    <t>Precio mts USD</t>
  </si>
  <si>
    <t>Precio Mts DOP</t>
  </si>
  <si>
    <t>Costo Total</t>
  </si>
  <si>
    <t>Inicial 20%</t>
  </si>
  <si>
    <t>Inicial en 4 cuotas</t>
  </si>
  <si>
    <t>financiamiento</t>
  </si>
  <si>
    <t>Financiamiento Don José</t>
  </si>
  <si>
    <t>Casa 1</t>
  </si>
  <si>
    <t>Frente Central 2</t>
  </si>
  <si>
    <t>Lateral y frente 3</t>
  </si>
  <si>
    <t>Lateral 4</t>
  </si>
  <si>
    <t>Fondo</t>
  </si>
  <si>
    <t xml:space="preserve">Inicial  </t>
  </si>
  <si>
    <t>SOLAR - CASA</t>
  </si>
  <si>
    <t>escalera</t>
  </si>
  <si>
    <t>trabajo Miguel</t>
  </si>
  <si>
    <t>doble navideño yuboa</t>
  </si>
  <si>
    <t>doble vm dj</t>
  </si>
  <si>
    <t>mixer mechy</t>
  </si>
  <si>
    <t>navidad aristides</t>
  </si>
  <si>
    <t>navidad pedro</t>
  </si>
  <si>
    <t>plaza imei</t>
  </si>
  <si>
    <t>regalo rosa</t>
  </si>
  <si>
    <t>secadora</t>
  </si>
  <si>
    <t>galeria 360</t>
  </si>
  <si>
    <t>bateria inversor</t>
  </si>
  <si>
    <t>almuerzo vm</t>
  </si>
  <si>
    <t>angela</t>
  </si>
  <si>
    <t>remoción de tierra DJ</t>
  </si>
  <si>
    <t>cena ocoa</t>
  </si>
  <si>
    <t>desayuno ocoa</t>
  </si>
  <si>
    <t>hotel ocoa</t>
  </si>
  <si>
    <t>mocana</t>
  </si>
  <si>
    <t>trabajo vm</t>
  </si>
  <si>
    <t>pala don jose</t>
  </si>
  <si>
    <t>prestamo vicky</t>
  </si>
  <si>
    <t>ayuda caarlos</t>
  </si>
  <si>
    <t>aceite pingui</t>
  </si>
  <si>
    <t>comida mocana</t>
  </si>
  <si>
    <t>arreglo calentador</t>
  </si>
  <si>
    <t>casa de teatro</t>
  </si>
  <si>
    <t>matas</t>
  </si>
  <si>
    <t>café bonao</t>
  </si>
  <si>
    <t>pala botes don jose</t>
  </si>
  <si>
    <t>comida la mocana</t>
  </si>
  <si>
    <t>foto</t>
  </si>
  <si>
    <t>bombita fumigar</t>
  </si>
  <si>
    <t>rinconada</t>
  </si>
  <si>
    <t>arturito</t>
  </si>
  <si>
    <t>cover tablet</t>
  </si>
  <si>
    <t>tere</t>
  </si>
  <si>
    <t>vino persio</t>
  </si>
  <si>
    <t>registro nombre rdempleos</t>
  </si>
  <si>
    <t>Alcantarilla don jose</t>
  </si>
  <si>
    <t>regalo tico</t>
  </si>
  <si>
    <t>ferreteria don jose</t>
  </si>
  <si>
    <t>luchy mechy</t>
  </si>
  <si>
    <t>relleno don jose</t>
  </si>
  <si>
    <t>matas vm</t>
  </si>
  <si>
    <t>avance domingo restan 10m</t>
  </si>
  <si>
    <t>paso rapido</t>
  </si>
  <si>
    <t>almuerzo</t>
  </si>
  <si>
    <t>adelanto albañil</t>
  </si>
  <si>
    <t>pizza hut</t>
  </si>
  <si>
    <t>varios conde</t>
  </si>
  <si>
    <t>el molino conde</t>
  </si>
  <si>
    <t xml:space="preserve">regalo  </t>
  </si>
  <si>
    <t>biscocho</t>
  </si>
  <si>
    <t>luces disco</t>
  </si>
  <si>
    <t>saldo final albañil don jose</t>
  </si>
  <si>
    <t>anuncio diario libre</t>
  </si>
  <si>
    <t>desayuno</t>
  </si>
  <si>
    <t>juan dolio</t>
  </si>
  <si>
    <t>empleado yuboa 2</t>
  </si>
  <si>
    <t>grava yuboa 2</t>
  </si>
  <si>
    <t>ferreteria yuboa 2</t>
  </si>
  <si>
    <t xml:space="preserve">ferreteria  </t>
  </si>
  <si>
    <t>boletos fiesta</t>
  </si>
  <si>
    <t>caldero</t>
  </si>
  <si>
    <t>cabezal don jose</t>
  </si>
  <si>
    <t>restaurante merengue</t>
  </si>
  <si>
    <t>quesos y galletas</t>
  </si>
  <si>
    <t>tratamiento mechy</t>
  </si>
  <si>
    <t>videos mechy</t>
  </si>
  <si>
    <t>carne soya</t>
  </si>
  <si>
    <t>carro mechy</t>
  </si>
  <si>
    <t>ajuste dolares mechy</t>
  </si>
  <si>
    <t>imei</t>
  </si>
  <si>
    <t>peaje aila</t>
  </si>
  <si>
    <t>suscripcion cable</t>
  </si>
  <si>
    <t>bebidas jima</t>
  </si>
  <si>
    <t>social rincon</t>
  </si>
  <si>
    <t>afiches ra</t>
  </si>
  <si>
    <t>don jose  resta 39000</t>
  </si>
  <si>
    <t>alcantarilla don jose</t>
  </si>
  <si>
    <t>zapatillas rosa</t>
  </si>
  <si>
    <t>julian</t>
  </si>
  <si>
    <t>deposito</t>
  </si>
  <si>
    <t xml:space="preserve">efectivo  </t>
  </si>
  <si>
    <t>mamá</t>
  </si>
  <si>
    <t>fiesta nautico</t>
  </si>
  <si>
    <t>hostinger</t>
  </si>
  <si>
    <t>gas asador</t>
  </si>
  <si>
    <t>trabajadores don jose</t>
  </si>
  <si>
    <t>adelanto albañil restan 14 + 8 mil</t>
  </si>
  <si>
    <t>carbón</t>
  </si>
  <si>
    <t>tanque asador</t>
  </si>
  <si>
    <t>trabajo vdj</t>
  </si>
  <si>
    <t>orlando vdj</t>
  </si>
  <si>
    <t>cel</t>
  </si>
  <si>
    <t>Efectivo dólares</t>
  </si>
  <si>
    <t>Cuenta Inversión</t>
  </si>
  <si>
    <t>Balance cuenta personal</t>
  </si>
  <si>
    <t>ferr</t>
  </si>
  <si>
    <t>Efectivo personal</t>
  </si>
  <si>
    <t>comida amigos</t>
  </si>
  <si>
    <t>e</t>
  </si>
  <si>
    <t>varios</t>
  </si>
  <si>
    <t>s</t>
  </si>
  <si>
    <t>cabo</t>
  </si>
  <si>
    <t>adventistas comida</t>
  </si>
  <si>
    <t>g</t>
  </si>
  <si>
    <t>botar basura</t>
  </si>
  <si>
    <t>f</t>
  </si>
  <si>
    <t>Gastos Mensuales</t>
  </si>
  <si>
    <t>cancelación claro</t>
  </si>
  <si>
    <t>cuadre</t>
  </si>
  <si>
    <t>restaurante</t>
  </si>
  <si>
    <t>gasolina???</t>
  </si>
  <si>
    <t>puntos banreservas</t>
  </si>
  <si>
    <t>jarabacoa</t>
  </si>
  <si>
    <t>cedimat</t>
  </si>
  <si>
    <t>seguro rg</t>
  </si>
  <si>
    <t>anuncio catastro</t>
  </si>
  <si>
    <t>telefono</t>
  </si>
  <si>
    <t>celular</t>
  </si>
  <si>
    <t>abanico mechy</t>
  </si>
  <si>
    <t>dulces</t>
  </si>
  <si>
    <t>préstamo mamá</t>
  </si>
  <si>
    <t>social income</t>
  </si>
  <si>
    <t>tomografía Mechy</t>
  </si>
  <si>
    <t>v</t>
  </si>
  <si>
    <t>u</t>
  </si>
  <si>
    <t>bomba</t>
  </si>
  <si>
    <t>desinstalación bomba</t>
  </si>
  <si>
    <t>reembolso RG</t>
  </si>
  <si>
    <t>piezas bomba</t>
  </si>
  <si>
    <t>instalación bomba</t>
  </si>
  <si>
    <t>consulta mechy</t>
  </si>
  <si>
    <t>fa</t>
  </si>
  <si>
    <t>pago servicios</t>
  </si>
  <si>
    <t>pago préstamo mamá</t>
  </si>
  <si>
    <t>catastro</t>
  </si>
  <si>
    <t>música</t>
  </si>
  <si>
    <t>m</t>
  </si>
  <si>
    <t>dr</t>
  </si>
  <si>
    <t>fe</t>
  </si>
  <si>
    <t xml:space="preserve">comida  </t>
  </si>
  <si>
    <t>ferreteria espejos</t>
  </si>
  <si>
    <t>trabajadores</t>
  </si>
  <si>
    <t>ticket aereo</t>
  </si>
  <si>
    <t>pago tarjeta ticket aereo</t>
  </si>
  <si>
    <t>pantalones cortos</t>
  </si>
  <si>
    <t>cancelación éxito visión</t>
  </si>
  <si>
    <t>chiche ledys</t>
  </si>
  <si>
    <t>tickets aereos</t>
  </si>
  <si>
    <t>tr</t>
  </si>
  <si>
    <t>compra amazon</t>
  </si>
  <si>
    <t>pago tarjeta amazon</t>
  </si>
  <si>
    <t>caja vanessa ny</t>
  </si>
  <si>
    <t>pago caja con dolares</t>
  </si>
  <si>
    <t>regalo lula</t>
  </si>
  <si>
    <t>compra tubo desague vo</t>
  </si>
  <si>
    <t>pago a jose casilla desague</t>
  </si>
  <si>
    <t>compra amazon tarjeta</t>
  </si>
  <si>
    <t>transporte aeropuerto</t>
  </si>
  <si>
    <t>pago con tarjeta</t>
  </si>
  <si>
    <t>regalos rosa</t>
  </si>
  <si>
    <t>tennis</t>
  </si>
  <si>
    <t>cafeteria</t>
  </si>
  <si>
    <t>compra villa don jose</t>
  </si>
  <si>
    <t>equipaje</t>
  </si>
  <si>
    <t>rafelito</t>
  </si>
  <si>
    <t>comisiones de transferencia</t>
  </si>
  <si>
    <t>utilidades</t>
  </si>
  <si>
    <t>ledys</t>
  </si>
  <si>
    <t>aire acondicionado</t>
  </si>
  <si>
    <t>baterías inversor</t>
  </si>
  <si>
    <t>inversor e instalación</t>
  </si>
  <si>
    <t>certificado dolares</t>
  </si>
  <si>
    <t>volantes RA</t>
  </si>
  <si>
    <t>cita médica Mechy</t>
  </si>
  <si>
    <t>aceite pinguino</t>
  </si>
  <si>
    <t>camisas</t>
  </si>
  <si>
    <t>abanico leticia</t>
  </si>
  <si>
    <t xml:space="preserve">gasolina </t>
  </si>
  <si>
    <t>cine</t>
  </si>
  <si>
    <t>cambio a mechy</t>
  </si>
  <si>
    <t>aporte video mechy</t>
  </si>
  <si>
    <t>uber mechy</t>
  </si>
  <si>
    <t>gastos junio</t>
  </si>
  <si>
    <t>mant. VM DJ</t>
  </si>
  <si>
    <t>control rosa</t>
  </si>
  <si>
    <t>medicina mechy</t>
  </si>
  <si>
    <t>bateria amplificador</t>
  </si>
  <si>
    <t>barra payan</t>
  </si>
  <si>
    <t>cendoe mechy</t>
  </si>
  <si>
    <t>lachapelle</t>
  </si>
  <si>
    <t>expedia</t>
  </si>
  <si>
    <t>transferencia titulo</t>
  </si>
  <si>
    <t>tambora mechy</t>
  </si>
  <si>
    <t>seguro pinguino</t>
  </si>
  <si>
    <t>chofan rosa</t>
  </si>
  <si>
    <t>ayuda amigo</t>
  </si>
  <si>
    <t>regalo quinceañera</t>
  </si>
  <si>
    <t>jardin secreto</t>
  </si>
  <si>
    <t>frutas</t>
  </si>
  <si>
    <t>tubos alcantarilla</t>
  </si>
  <si>
    <t>yuboa</t>
  </si>
  <si>
    <t>toby</t>
  </si>
  <si>
    <t>50 mts de alcantarilla</t>
  </si>
  <si>
    <t>150 mts cubicos de relleno</t>
  </si>
  <si>
    <t>variila para muro y cabezal</t>
  </si>
  <si>
    <t>retroescavadora</t>
  </si>
  <si>
    <t>minigrua</t>
  </si>
  <si>
    <t>cemento</t>
  </si>
  <si>
    <t>arena</t>
  </si>
  <si>
    <t>mano de obra</t>
  </si>
  <si>
    <t>menos com 3%</t>
  </si>
  <si>
    <t>sacos vm</t>
  </si>
  <si>
    <t>empleado vm</t>
  </si>
  <si>
    <t>ebanisteria vm</t>
  </si>
  <si>
    <t xml:space="preserve">ensueño  </t>
  </si>
  <si>
    <t>almuerzo juan dolio</t>
  </si>
  <si>
    <t>fiesta blanco</t>
  </si>
  <si>
    <t>edward</t>
  </si>
  <si>
    <t>cañada vm</t>
  </si>
  <si>
    <t>Villa Don José</t>
  </si>
  <si>
    <t>Solares Don José</t>
  </si>
  <si>
    <t>anuncios supercasas</t>
  </si>
  <si>
    <t>Precio mts  DOP</t>
  </si>
  <si>
    <t>Inicial</t>
  </si>
  <si>
    <t>social</t>
  </si>
  <si>
    <t>diferencia</t>
  </si>
  <si>
    <t>PRESTAMO PAYANO</t>
  </si>
  <si>
    <t>Mes</t>
  </si>
  <si>
    <t>Oct</t>
  </si>
  <si>
    <t>Nov</t>
  </si>
  <si>
    <t>Dic</t>
  </si>
  <si>
    <t>Cuota</t>
  </si>
  <si>
    <t>Recargo</t>
  </si>
  <si>
    <t>Pagada</t>
  </si>
  <si>
    <t>Comisión 5%</t>
  </si>
  <si>
    <t>Neto</t>
  </si>
  <si>
    <t>AGENTES BIENES RAICES</t>
  </si>
  <si>
    <t>Génesis #1, detrás del Materno , Bonao, Dominican Republic</t>
  </si>
  <si>
    <t>David Vende</t>
  </si>
  <si>
    <t>809 253 4972</t>
  </si>
  <si>
    <t>Máximo Gómez #2-C,, Bonao, Dominican Republic</t>
  </si>
  <si>
    <t>(829) 213-6891</t>
  </si>
  <si>
    <t>raicesdelyuna</t>
  </si>
  <si>
    <t>Cerrado ahora</t>
  </si>
  <si>
    <t>Raíces del Yuna</t>
  </si>
  <si>
    <t>Calle Duarte, Esq. Mella, al lado de la Heladería Bon, Fantino, Dominican Republic</t>
  </si>
  <si>
    <t>(809) 574-1254</t>
  </si>
  <si>
    <t>GP Soluciones Inmobiliarias</t>
  </si>
  <si>
    <t>809 574 1254</t>
  </si>
  <si>
    <r>
      <t>Página</t>
    </r>
    <r>
      <rPr>
        <sz val="6"/>
        <color rgb="FF1C1E21"/>
        <rFont val="Inherit"/>
      </rPr>
      <t> · Agente inmobiliario</t>
    </r>
  </si>
  <si>
    <t>Calle colon esquina la carrera, La Vega, Dominican Republic</t>
  </si>
  <si>
    <t>(809) 980-9220</t>
  </si>
  <si>
    <t>Todavía sin calificar (2 opinio</t>
  </si>
  <si>
    <t>Inmobiliaria Manuel Divanne - La Vega</t>
  </si>
  <si>
    <t> Instagram  Facebook Youtube</t>
  </si>
  <si>
    <t>PUBLICAR PROPIEDADLOGIN</t>
  </si>
  <si>
    <t>Asociación</t>
  </si>
  <si>
    <t>Propiedades</t>
  </si>
  <si>
    <t>Miembros</t>
  </si>
  <si>
    <t>Educación</t>
  </si>
  <si>
    <t>Contáctenos</t>
  </si>
  <si>
    <t>LOGIN</t>
  </si>
  <si>
    <t>Inicio</t>
  </si>
  <si>
    <t>Directorio</t>
  </si>
  <si>
    <t>Agentes Inmobiliarios</t>
  </si>
  <si>
    <r>
      <t>Agentes Inmobiliarios [</t>
    </r>
    <r>
      <rPr>
        <b/>
        <sz val="13"/>
        <color rgb="FF5A5A5A"/>
        <rFont val="Inherit"/>
      </rPr>
      <t>1,381</t>
    </r>
    <r>
      <rPr>
        <sz val="13"/>
        <color rgb="FF5A5A5A"/>
        <rFont val="Inherit"/>
      </rPr>
      <t>]</t>
    </r>
  </si>
  <si>
    <t>Nuevas afiliaciones de agentes [1,195]</t>
  </si>
  <si>
    <t>Gustavo Natera</t>
  </si>
  <si>
    <t>MARLO SERVICIOS SRL / REMAX METROPOLITANA</t>
  </si>
  <si>
    <t>Teléfono:</t>
  </si>
  <si>
    <t>Movil:</t>
  </si>
  <si>
    <t>CBR:</t>
  </si>
  <si>
    <t>Registro #4805</t>
  </si>
  <si>
    <t>Melissa Alliata-Bronner</t>
  </si>
  <si>
    <t>PUNTA CANA BLUE ONE INVESTMENTS, S.R.L. / CANABLUE</t>
  </si>
  <si>
    <t>Registro #4804</t>
  </si>
  <si>
    <t>Elizabeth Arzeno</t>
  </si>
  <si>
    <t>AGENTE INMOBILIARIO</t>
  </si>
  <si>
    <t>Registro #4803</t>
  </si>
  <si>
    <t>Juan Pilips Michell</t>
  </si>
  <si>
    <t>Registro #4802</t>
  </si>
  <si>
    <t>Hamlet Reynoso Vanderhorst</t>
  </si>
  <si>
    <t>VELOBE REALTY GROUP SRL / KW CAPITAL</t>
  </si>
  <si>
    <t>Registro #4801</t>
  </si>
  <si>
    <t>Amelie Flambert</t>
  </si>
  <si>
    <t>OLIMA REAL ESTATE</t>
  </si>
  <si>
    <t>Registro #4800</t>
  </si>
  <si>
    <t>Luis Polanco Sangiovanni</t>
  </si>
  <si>
    <t>Registro #4799</t>
  </si>
  <si>
    <t>Joshua Rosenthal</t>
  </si>
  <si>
    <t>Registro #4798</t>
  </si>
  <si>
    <t>Fior D'aliza Ubiera</t>
  </si>
  <si>
    <t>Registro #4797</t>
  </si>
  <si>
    <t>Carla Martinez Pozo</t>
  </si>
  <si>
    <t>Registro #4796</t>
  </si>
  <si>
    <t>Rafael Tomas Sosa Miolan</t>
  </si>
  <si>
    <t>Registro #4795</t>
  </si>
  <si>
    <t>Harolin Castillo Francisco</t>
  </si>
  <si>
    <t>Registro #4794</t>
  </si>
  <si>
    <t>Yana Puchinkina</t>
  </si>
  <si>
    <t>BUSINESS OF APTOSRD SRL / APARTAMENTOS RD / SD</t>
  </si>
  <si>
    <t>Registro #4793</t>
  </si>
  <si>
    <t>Jheysell Rodriguez Ruiz</t>
  </si>
  <si>
    <t>Registro #4792</t>
  </si>
  <si>
    <t>Wanda Morel Restituyo</t>
  </si>
  <si>
    <t>GRUPO FORTUNA MORONTA, SRL</t>
  </si>
  <si>
    <t>Registro #4791</t>
  </si>
  <si>
    <t>Ruth De Jesus</t>
  </si>
  <si>
    <t>OFERTAS INMOBILIARIAS RAYDER SANTANA SRL</t>
  </si>
  <si>
    <t>Registro #4790</t>
  </si>
  <si>
    <t>Jeancarlos Colon Tejada</t>
  </si>
  <si>
    <t>Registro #4789</t>
  </si>
  <si>
    <t>Flor Elizabeth Martinez</t>
  </si>
  <si>
    <t>Registro #4788</t>
  </si>
  <si>
    <t>Elizabeth Mendez Madera</t>
  </si>
  <si>
    <t>Registro #4787</t>
  </si>
  <si>
    <t>Luz Maria Madera Benedicto</t>
  </si>
  <si>
    <t>NOVES PROPERTIES S.R.L</t>
  </si>
  <si>
    <t>Registro #4786</t>
  </si>
  <si>
    <t>Ehimer Antomar Cruz</t>
  </si>
  <si>
    <t>Registro #4785</t>
  </si>
  <si>
    <t>Yadelka Mercedes Garcia Rodriguez</t>
  </si>
  <si>
    <t>Registro #4784</t>
  </si>
  <si>
    <t>Elpidio Baute</t>
  </si>
  <si>
    <t>ELITE HOUSE</t>
  </si>
  <si>
    <t>Registro #4783</t>
  </si>
  <si>
    <t>Raul Almonte Castillo</t>
  </si>
  <si>
    <t>MA REAL ESTATE EMPIRE SRL / ALVEARE REALTY</t>
  </si>
  <si>
    <t>Registro #4782</t>
  </si>
  <si>
    <t>Miriam Zorrilla Abreu</t>
  </si>
  <si>
    <t>Registro #4781</t>
  </si>
  <si>
    <t>Melina Jimenez Mejia</t>
  </si>
  <si>
    <t>Registro #4780</t>
  </si>
  <si>
    <t>Katherine Santos Hernandez</t>
  </si>
  <si>
    <t>Registro #4779</t>
  </si>
  <si>
    <t>Jose Ventura Santos</t>
  </si>
  <si>
    <t>Registro #4778</t>
  </si>
  <si>
    <t>Iralmy Ortiz Polonio</t>
  </si>
  <si>
    <t>Registro #4777</t>
  </si>
  <si>
    <t>Cristina Martinez Fransua</t>
  </si>
  <si>
    <t>Registro #4776</t>
  </si>
  <si>
    <t>Angela Santana</t>
  </si>
  <si>
    <t>Registro #4775</t>
  </si>
  <si>
    <t>Pamela De La Rosa</t>
  </si>
  <si>
    <t>PORTA PROPERTIES S.R.L.</t>
  </si>
  <si>
    <t>Registro #4774</t>
  </si>
  <si>
    <t>Heidy Gomez Castellanos</t>
  </si>
  <si>
    <t>Registro #4773</t>
  </si>
  <si>
    <t>Yenis Perez Rodriguez</t>
  </si>
  <si>
    <t>Registro #4772</t>
  </si>
  <si>
    <t>Ana Ureña Payano</t>
  </si>
  <si>
    <t>Registro #4771</t>
  </si>
  <si>
    <t>Rafael Mercedes Montilla</t>
  </si>
  <si>
    <t>INMOBILIARIA MODERN PROPERTIES</t>
  </si>
  <si>
    <t>Registro #4770</t>
  </si>
  <si>
    <t> Primera</t>
  </si>
  <si>
    <t>Siguiente </t>
  </si>
  <si>
    <t>Ultima </t>
  </si>
  <si>
    <t>Agentes Miembros</t>
  </si>
  <si>
    <t>980 Nacional</t>
  </si>
  <si>
    <t>301 Zona Norte</t>
  </si>
  <si>
    <t>100 Zona Este</t>
  </si>
  <si>
    <t>1,381 Total Agentes</t>
  </si>
  <si>
    <t>Copyright © 2025. Terminos de uso.Ir arriba</t>
  </si>
  <si>
    <t>Elpidio Baute </t>
  </si>
  <si>
    <t>Cesar Penn Ramirez</t>
  </si>
  <si>
    <t>Beatriz Hernandez Milena</t>
  </si>
  <si>
    <t>Leslie Maria Rodriguez Tineo</t>
  </si>
  <si>
    <t>Niurka Germoso Martinez</t>
  </si>
  <si>
    <t>Kimberly Escalante Alburquerque</t>
  </si>
  <si>
    <t>Julissa Almanzar Royer</t>
  </si>
  <si>
    <t>Ana Alburquerque Duran</t>
  </si>
  <si>
    <t>Evgeny Sevostyanov</t>
  </si>
  <si>
    <t>Frederic Ager</t>
  </si>
  <si>
    <t>Gabriela Soñe</t>
  </si>
  <si>
    <t>Marvin Charly D'orfani</t>
  </si>
  <si>
    <t>Miriam del Carmen Brito</t>
  </si>
  <si>
    <t>Gisselle Frias</t>
  </si>
  <si>
    <t>Altagracia Dalqui Santana</t>
  </si>
  <si>
    <t>Margaret Mirabal Sanchez</t>
  </si>
  <si>
    <t>Jose Enrique Gomez</t>
  </si>
  <si>
    <t>Johel Amargos</t>
  </si>
  <si>
    <t>Jasmel Encarnacion Castillo</t>
  </si>
  <si>
    <t>Dessiree Gonzalez Holguin</t>
  </si>
  <si>
    <t>Dannelis Veras</t>
  </si>
  <si>
    <t>Carla Morillo Guzman</t>
  </si>
  <si>
    <t>Cristina Correa</t>
  </si>
  <si>
    <t>Cristian Adon</t>
  </si>
  <si>
    <t>Ruth Ovalle Ulloa</t>
  </si>
  <si>
    <t>Nabil Rosario Arias</t>
  </si>
  <si>
    <t>Yahaira De La Rosa</t>
  </si>
  <si>
    <t>Glenny Garcia Agame</t>
  </si>
  <si>
    <t>Dragos Marius Popovici</t>
  </si>
  <si>
    <t>809 979 9504</t>
  </si>
  <si>
    <t>829 324 6035</t>
  </si>
  <si>
    <t>849 362 1570</t>
  </si>
  <si>
    <t>809 854 5696</t>
  </si>
  <si>
    <t>809 501 5987</t>
  </si>
  <si>
    <t>809 417 8105</t>
  </si>
  <si>
    <t>829 830 2506</t>
  </si>
  <si>
    <t>829 850 6985</t>
  </si>
  <si>
    <t>829 682 8174</t>
  </si>
  <si>
    <t>809 697 7029</t>
  </si>
  <si>
    <t>829 759 0920</t>
  </si>
  <si>
    <t>829 638 1318</t>
  </si>
  <si>
    <t>829 721 5257</t>
  </si>
  <si>
    <t>809 981 9990</t>
  </si>
  <si>
    <t>829 726 5076</t>
  </si>
  <si>
    <t>829 696 9090</t>
  </si>
  <si>
    <t>809 870 9403</t>
  </si>
  <si>
    <t>809 707 9977</t>
  </si>
  <si>
    <t>809 854 8786</t>
  </si>
  <si>
    <t>829 883 6734</t>
  </si>
  <si>
    <t>829 281 2786</t>
  </si>
  <si>
    <t>809 905 5535</t>
  </si>
  <si>
    <t>849 434 1945</t>
  </si>
  <si>
    <t>809 777 5268</t>
  </si>
  <si>
    <t>809 881 1181</t>
  </si>
  <si>
    <t>809 481 2059</t>
  </si>
  <si>
    <t>829 898 2732</t>
  </si>
  <si>
    <t>809 399 4440</t>
  </si>
  <si>
    <t>829 930 2277</t>
  </si>
  <si>
    <t>829 352 2685</t>
  </si>
  <si>
    <t>809 712 2696</t>
  </si>
  <si>
    <t>829 884 9010</t>
  </si>
  <si>
    <t>809 723 5205</t>
  </si>
  <si>
    <t>829 872 9666</t>
  </si>
  <si>
    <t>849 252 8400</t>
  </si>
  <si>
    <t>809 713 3000</t>
  </si>
  <si>
    <t>829 281 4711</t>
  </si>
  <si>
    <t>829 373 3377</t>
  </si>
  <si>
    <t>829 671 4088</t>
  </si>
  <si>
    <t>809 837 5348</t>
  </si>
  <si>
    <t>809 884 1409</t>
  </si>
  <si>
    <t>829 569 6777</t>
  </si>
  <si>
    <t>829 694 1414</t>
  </si>
  <si>
    <t>809 430 4388</t>
  </si>
  <si>
    <t>809 727 9686</t>
  </si>
  <si>
    <t>809 310 7881</t>
  </si>
  <si>
    <t>829 213 6891</t>
  </si>
  <si>
    <t>GASTOS MENSUALES</t>
  </si>
  <si>
    <t>Gasolina</t>
  </si>
  <si>
    <t>Comida</t>
  </si>
  <si>
    <t>Celular</t>
  </si>
  <si>
    <t>Internet VO</t>
  </si>
  <si>
    <t>Internet VM</t>
  </si>
  <si>
    <t>Luz VM</t>
  </si>
  <si>
    <t>Trabajador VM</t>
  </si>
  <si>
    <t>Ingreso Prest</t>
  </si>
  <si>
    <t>Ingreso Social</t>
  </si>
  <si>
    <t>Entertainment</t>
  </si>
  <si>
    <t>Miscelaneas</t>
  </si>
  <si>
    <t>Ferreteria</t>
  </si>
  <si>
    <t>Reinversión</t>
  </si>
  <si>
    <t>Trabajador DJ EN</t>
  </si>
  <si>
    <t>Dry Cleaner</t>
  </si>
  <si>
    <t>Netflix</t>
  </si>
  <si>
    <t>plomero septico</t>
  </si>
  <si>
    <t>483m</t>
  </si>
  <si>
    <t>29mm</t>
  </si>
  <si>
    <t>Precio mts DOP</t>
  </si>
  <si>
    <t>Precio Mts USD</t>
  </si>
  <si>
    <t>arreglo ensueño</t>
  </si>
  <si>
    <t>maíz pollo</t>
  </si>
  <si>
    <t>netflix</t>
  </si>
  <si>
    <t>podadora</t>
  </si>
  <si>
    <t>vm chicho</t>
  </si>
  <si>
    <t>rincon</t>
  </si>
  <si>
    <t>telefono vo</t>
  </si>
  <si>
    <t>optica</t>
  </si>
  <si>
    <t xml:space="preserve">garita </t>
  </si>
  <si>
    <t>hospiten</t>
  </si>
  <si>
    <t>maiz pollo</t>
  </si>
  <si>
    <t>seguro medico</t>
  </si>
  <si>
    <t>cena</t>
  </si>
  <si>
    <t>hotel samaná</t>
  </si>
  <si>
    <t>chicho</t>
  </si>
  <si>
    <t>zn, luc, rosa</t>
  </si>
  <si>
    <t>papa</t>
  </si>
  <si>
    <t>jetta</t>
  </si>
  <si>
    <t>Solares Don José USD</t>
  </si>
  <si>
    <t>Solar Ensueño 4</t>
  </si>
  <si>
    <t>Solar Ensueño 4 USD</t>
  </si>
  <si>
    <t>Villa Don José USD</t>
  </si>
  <si>
    <t>Solar Estancias 5</t>
  </si>
  <si>
    <t>Solar Estancias 5 USD</t>
  </si>
  <si>
    <t>Efectivo DOP en USD</t>
  </si>
  <si>
    <t>movil jms</t>
  </si>
  <si>
    <t>internet vo</t>
  </si>
  <si>
    <t>lona ensueño</t>
  </si>
  <si>
    <t>sastrería</t>
  </si>
  <si>
    <t>sillas playeras</t>
  </si>
  <si>
    <t>internet vm</t>
  </si>
  <si>
    <t>sentadera silla rueda</t>
  </si>
  <si>
    <t>spray pintura estufa</t>
  </si>
  <si>
    <t>peluquería</t>
  </si>
  <si>
    <t>dermatologia</t>
  </si>
  <si>
    <t>trampa de grasa</t>
  </si>
  <si>
    <t>mercado</t>
  </si>
  <si>
    <t>café</t>
  </si>
  <si>
    <t>ingreso paya</t>
  </si>
  <si>
    <t>ingreso ariel</t>
  </si>
  <si>
    <t>metricos</t>
  </si>
  <si>
    <t>Solar Ensueño 3</t>
  </si>
  <si>
    <t>Solar Ensueño 3 USD</t>
  </si>
  <si>
    <t>baul ford</t>
  </si>
  <si>
    <t>Solar Ensueño 3 Pablo</t>
  </si>
  <si>
    <t>Solar Ensueño 4 Ariel</t>
  </si>
  <si>
    <t>dreamplan</t>
  </si>
  <si>
    <t>cuotas abril, mayo, junio, julio  y agosto vm y dj</t>
  </si>
  <si>
    <t>gasolina podadora</t>
  </si>
  <si>
    <t>cantidad de metros relleno</t>
  </si>
  <si>
    <t>capacidad camion</t>
  </si>
  <si>
    <t>cantidad de camiones</t>
  </si>
  <si>
    <t>costo de material por metro</t>
  </si>
  <si>
    <t>costo total de material</t>
  </si>
  <si>
    <t>costo total material y camiones</t>
  </si>
  <si>
    <t>costo transporte de camiones</t>
  </si>
  <si>
    <t>total costo transporte de camiones</t>
  </si>
  <si>
    <t>almuerzo club maimon</t>
  </si>
  <si>
    <t>longitud</t>
  </si>
  <si>
    <t>el zorro</t>
  </si>
  <si>
    <t>canaleta</t>
  </si>
  <si>
    <t>400 mts de relleno</t>
  </si>
  <si>
    <t>25 transportes</t>
  </si>
  <si>
    <t>Papikely</t>
  </si>
  <si>
    <t>sacos yuboa</t>
  </si>
  <si>
    <t>zorro motor</t>
  </si>
  <si>
    <t>vm relleno</t>
  </si>
  <si>
    <t>ruedas podadora</t>
  </si>
  <si>
    <t>relleno vm</t>
  </si>
  <si>
    <t>zorro baul</t>
  </si>
  <si>
    <t>ford</t>
  </si>
  <si>
    <t>canaleta don jose</t>
  </si>
  <si>
    <t>pozo tubular vm</t>
  </si>
  <si>
    <t>don jose limpieza</t>
  </si>
  <si>
    <t xml:space="preserve">vm  </t>
  </si>
  <si>
    <t>ventorillo</t>
  </si>
  <si>
    <t>domex ruedas podadora</t>
  </si>
  <si>
    <t>CONCEPTO</t>
  </si>
  <si>
    <t>BALANCE</t>
  </si>
  <si>
    <t>precio venta</t>
  </si>
  <si>
    <t>avance</t>
  </si>
  <si>
    <t>SOLAR NUMERO 3 - ENSUEÑO - VECINO PABLO</t>
  </si>
  <si>
    <t>SOLAR NUMERO 4 - ENSUEÑO -ARIEL BATISTA</t>
  </si>
  <si>
    <t>SOLAR NUMERO 7 - ENSUEÑO - SHEILA FLORES</t>
  </si>
  <si>
    <t>cuota 1</t>
  </si>
  <si>
    <t>balance aproximado por financiamiento</t>
  </si>
  <si>
    <t>separación</t>
  </si>
  <si>
    <t>SOLAR NUMERO 3  - ENSUEÑO - FRANCIS RODRIGUEZ</t>
  </si>
  <si>
    <t>subsidio ensueño</t>
  </si>
  <si>
    <t>monto prestamo</t>
  </si>
  <si>
    <t>plazo</t>
  </si>
  <si>
    <t>cuota</t>
  </si>
  <si>
    <t>interes</t>
  </si>
  <si>
    <t>capital</t>
  </si>
  <si>
    <t>balance</t>
  </si>
  <si>
    <t>tasa</t>
  </si>
  <si>
    <t>Cuota No.</t>
  </si>
  <si>
    <t>Vencimiento</t>
  </si>
  <si>
    <t>Fecha Pago</t>
  </si>
  <si>
    <t>TABLA AMORTIZACIÓN ARIEL ANTONIO BATISTA PERALTA</t>
  </si>
  <si>
    <t>TABLA AMORTIZACION  DAWRIN ALMONTE Y SHEILA FLORES - SOLAR 7 ENSUEÑO</t>
  </si>
  <si>
    <t>TABLA DE AMORTIZACION - FRANCIS RAFAEL RODRIGUEZ - solar 3 Estancias</t>
  </si>
  <si>
    <t>chapeo ensueño</t>
  </si>
  <si>
    <t>limpieza ensueño</t>
  </si>
  <si>
    <t>medico</t>
  </si>
  <si>
    <t>luces ford</t>
  </si>
  <si>
    <t>silla papá</t>
  </si>
  <si>
    <t>ford domex baul</t>
  </si>
  <si>
    <t>instalación cerradura ford</t>
  </si>
  <si>
    <t>estufa</t>
  </si>
  <si>
    <t>tabla silla papá</t>
  </si>
  <si>
    <t>seguro médico</t>
  </si>
  <si>
    <t>corte tronco caido</t>
  </si>
  <si>
    <t>fundación luisa</t>
  </si>
  <si>
    <t>analisis medico</t>
  </si>
  <si>
    <t>aceite ford</t>
  </si>
  <si>
    <t>Monto de Pago</t>
  </si>
  <si>
    <t>balance Fin</t>
  </si>
  <si>
    <t>patio vo</t>
  </si>
  <si>
    <t>boletos vicky</t>
  </si>
  <si>
    <t>jugo manolo</t>
  </si>
  <si>
    <t>domex</t>
  </si>
  <si>
    <t xml:space="preserve">inicial </t>
  </si>
  <si>
    <t>cable audio</t>
  </si>
  <si>
    <t>pozo vm</t>
  </si>
  <si>
    <t>ingreso Sheila</t>
  </si>
  <si>
    <t>mecanico</t>
  </si>
  <si>
    <t>piezas carro</t>
  </si>
  <si>
    <t>turbo carro</t>
  </si>
  <si>
    <t>balance inicial</t>
  </si>
  <si>
    <t>avance comision rafael</t>
  </si>
  <si>
    <t>Solar Estancia 3 Francis USD</t>
  </si>
  <si>
    <t>comision rafael ensueño 5</t>
  </si>
  <si>
    <t>comisión estancia 3</t>
  </si>
  <si>
    <t>metricos rosa mama</t>
  </si>
  <si>
    <t>metricos zenaida lucia</t>
  </si>
  <si>
    <t>mecanico mosca</t>
  </si>
  <si>
    <t>a vender</t>
  </si>
  <si>
    <t>SALDO</t>
  </si>
  <si>
    <t>mantenimiento ensueño</t>
  </si>
  <si>
    <t>limpieza don jose</t>
  </si>
  <si>
    <t>mantenimiento vm</t>
  </si>
  <si>
    <t>ingreso francis</t>
  </si>
  <si>
    <t>ingreso francisco</t>
  </si>
  <si>
    <t>mecanico zorro</t>
  </si>
  <si>
    <t>Tareas</t>
  </si>
  <si>
    <t>% aprovechable</t>
  </si>
  <si>
    <t>costo</t>
  </si>
  <si>
    <t>Terreno neto</t>
  </si>
  <si>
    <t>tamaño solares</t>
  </si>
  <si>
    <t>cantidad de solares</t>
  </si>
  <si>
    <t>precio metro</t>
  </si>
  <si>
    <t>precio total</t>
  </si>
  <si>
    <t>Deslinde y título</t>
  </si>
  <si>
    <t>Costo Desarrollo</t>
  </si>
  <si>
    <t>beneficio neto</t>
  </si>
  <si>
    <t>% de Beneficio</t>
  </si>
  <si>
    <t>Precio de solar</t>
  </si>
  <si>
    <t>piedra blanca junior</t>
  </si>
  <si>
    <t>Ubicación</t>
  </si>
  <si>
    <t>Piedra Blanca Junio</t>
  </si>
  <si>
    <t>Cerca de Papikely</t>
  </si>
  <si>
    <t>metricos vanecilla</t>
  </si>
  <si>
    <t>vencimiento</t>
  </si>
  <si>
    <t>Status</t>
  </si>
  <si>
    <t xml:space="preserve">VENCIMIENTO INICIAL </t>
  </si>
  <si>
    <t>pagada</t>
  </si>
  <si>
    <t>SEPTIEMBRE</t>
  </si>
  <si>
    <t>veterinario Joe</t>
  </si>
  <si>
    <t>uber</t>
  </si>
  <si>
    <t>altice internet vo</t>
  </si>
  <si>
    <t>pago</t>
  </si>
  <si>
    <t>relleno y transp</t>
  </si>
  <si>
    <t>relleno</t>
  </si>
  <si>
    <t>Agosto 05</t>
  </si>
  <si>
    <t>Agosto 21</t>
  </si>
  <si>
    <t>spiderman</t>
  </si>
  <si>
    <t>vm sept, oct, nov</t>
  </si>
  <si>
    <t>don jose sept, oct, nov</t>
  </si>
  <si>
    <t>electricidad el Ensueño</t>
  </si>
  <si>
    <t>botella baul el zorro</t>
  </si>
  <si>
    <t>escaner zorro</t>
  </si>
  <si>
    <t>status</t>
  </si>
  <si>
    <t>completivo inicial</t>
  </si>
  <si>
    <t>fecha venc</t>
  </si>
  <si>
    <t>fecha pago</t>
  </si>
  <si>
    <t>pagada usa</t>
  </si>
  <si>
    <t>turbo ford</t>
  </si>
  <si>
    <t>actuator zorro</t>
  </si>
  <si>
    <t>pecera</t>
  </si>
  <si>
    <t>café carretera</t>
  </si>
  <si>
    <t>comision venta</t>
  </si>
  <si>
    <t>lamparas ensueño</t>
  </si>
  <si>
    <t>mant vm y solar</t>
  </si>
  <si>
    <t>postes ensueño</t>
  </si>
  <si>
    <t>celular jm</t>
  </si>
  <si>
    <t>bombas de agua vm</t>
  </si>
  <si>
    <t>goma zorro</t>
  </si>
  <si>
    <t>|</t>
  </si>
  <si>
    <t>Banco Santa Cruz USD</t>
  </si>
  <si>
    <t>inicial</t>
  </si>
  <si>
    <t>OCTUBRE</t>
  </si>
  <si>
    <t>playa club naco</t>
  </si>
  <si>
    <t>control remoto aire</t>
  </si>
  <si>
    <t>peluqueria</t>
  </si>
  <si>
    <t>entretenimiento</t>
  </si>
  <si>
    <t>comida turey</t>
  </si>
  <si>
    <t>transferencia edward</t>
  </si>
  <si>
    <t>Spiderman</t>
  </si>
  <si>
    <t>El Zorro</t>
  </si>
  <si>
    <t>Spiderman USD</t>
  </si>
  <si>
    <t>Zorro USD</t>
  </si>
  <si>
    <t>tasa dólar</t>
  </si>
  <si>
    <t>reembolso postes de luz</t>
  </si>
  <si>
    <t>impuestos transf</t>
  </si>
  <si>
    <t>mi precio</t>
  </si>
  <si>
    <t>su precio</t>
  </si>
  <si>
    <t>Diff</t>
  </si>
  <si>
    <t>precio x mts</t>
  </si>
  <si>
    <t>lachapell</t>
  </si>
  <si>
    <t>gas propano</t>
  </si>
  <si>
    <t>crucero</t>
  </si>
  <si>
    <t>comida peces</t>
  </si>
  <si>
    <t>TABLA DE AMORTIZACION - FRANCISCO MARTINEZ - solar 5 Ensueño</t>
  </si>
  <si>
    <t>Ensueño 5 Francisco Martinez</t>
  </si>
  <si>
    <t>Ensueño 7  sheila</t>
  </si>
  <si>
    <t>Ensueño 2 JMS</t>
  </si>
  <si>
    <t>Estancia 3 Francis Rodriguez</t>
  </si>
  <si>
    <t>Ensueño 2 JMS USD</t>
  </si>
  <si>
    <t>Ensueño 4 ARIEL USD</t>
  </si>
  <si>
    <t>Ensueño SHEILA 7 USD</t>
  </si>
  <si>
    <t>Ensueño 5 FRANCIS USD</t>
  </si>
  <si>
    <t>Ensueño 3 PABLO USD</t>
  </si>
  <si>
    <t>NOVIEMBRE</t>
  </si>
  <si>
    <t>millaje 1</t>
  </si>
  <si>
    <t>millaje2</t>
  </si>
  <si>
    <t>millaje 3</t>
  </si>
  <si>
    <t>José Miguel Rodríguez López - Crisleidi Núñez Núñez</t>
  </si>
  <si>
    <t>TABLA DE AMORTIZACION - Solares 2, 4 y 5,  Estancias Yuboa</t>
  </si>
  <si>
    <t>Solar Estancias 2, 4 y 5 USD</t>
  </si>
  <si>
    <t>Estancias  2, 4 y 5 JMR DOP</t>
  </si>
  <si>
    <t>ingreso José Miguel</t>
  </si>
  <si>
    <t>Mantenimiento CRV</t>
  </si>
  <si>
    <t>Fecha Venc</t>
  </si>
  <si>
    <t>Pago</t>
  </si>
  <si>
    <t>aire vo</t>
  </si>
  <si>
    <t>pintura vo</t>
  </si>
  <si>
    <t>paso rápido</t>
  </si>
  <si>
    <t>lachapel</t>
  </si>
  <si>
    <t>little ceasar</t>
  </si>
  <si>
    <t>transf guillermo ant. Collado-Ford?</t>
  </si>
  <si>
    <t>aceite crv</t>
  </si>
  <si>
    <t>regalos</t>
  </si>
  <si>
    <t>postes eléctrico</t>
  </si>
  <si>
    <t>abono</t>
  </si>
  <si>
    <t>mechy mudanza y carro</t>
  </si>
  <si>
    <t>Tamaño</t>
  </si>
  <si>
    <t>Precio USD</t>
  </si>
  <si>
    <t>Ensueño, La Colonia</t>
  </si>
  <si>
    <t>Solar 1</t>
  </si>
  <si>
    <t>Solar 2</t>
  </si>
  <si>
    <t>Solar 8</t>
  </si>
  <si>
    <t>Solar 6</t>
  </si>
  <si>
    <t xml:space="preserve">Estancias Yuboa </t>
  </si>
  <si>
    <t>5.5MM</t>
  </si>
  <si>
    <t>Tiene 3 anexos aprovechables, vista y acceso directo al río.</t>
  </si>
  <si>
    <t>DICIEMBRE</t>
  </si>
  <si>
    <t>doble Chicho</t>
  </si>
  <si>
    <t>seguro medico nov, dic, enero</t>
  </si>
  <si>
    <t>vm mant dic dic ene</t>
  </si>
  <si>
    <t>odalis pozo</t>
  </si>
  <si>
    <t>credenza vm</t>
  </si>
  <si>
    <t>cojines vm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</si>
</sst>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8" formatCode="&quot;$&quot;#,##0.00_);[Red]\(&quot;$&quot;#,##0.00\)"/>
    <numFmt numFmtId="43" formatCode="_(* #,##0.00_);_(* \(#,##0.00\);_(* &quot;-&quot;??_);_(@_)"/>
    <numFmt numFmtId="164" formatCode="_(* #,##0.00_);_(* \(#,##0.00\);_(* \-??_);_(@_)"/>
    <numFmt numFmtId="165" formatCode="_(* #,##0.0000_);_(* \(#,##0.0000\);_(* \-??_);_(@_)"/>
    <numFmt numFmtId="166" formatCode="_(* #,##0.00000_);_(* \(#,##0.00000\);_(* \-??_);_(@_)"/>
    <numFmt numFmtId="167" formatCode="&quot;$ &quot;#,##0.00;[Red]&quot;-$ &quot;#,##0.00"/>
  </numFmts>
  <fonts count="46">
    <font>
      <sz val="11"/>
      <color theme="1"/>
      <name val="Calibri"/>
      <family val="2"/>
      <charset val="1"/>
    </font>
    <font>
      <sz val="12"/>
      <color theme="1"/>
      <name val="Calibri"/>
      <family val="2"/>
      <charset val="1"/>
    </font>
    <font>
      <b/>
      <sz val="12"/>
      <color theme="0"/>
      <name val="Calibri"/>
      <family val="2"/>
      <charset val="1"/>
    </font>
    <font>
      <b/>
      <sz val="12"/>
      <color theme="1"/>
      <name val="Calibri"/>
      <family val="2"/>
      <charset val="1"/>
    </font>
    <font>
      <u/>
      <sz val="12"/>
      <color theme="1"/>
      <name val="Calibri"/>
      <family val="2"/>
      <charset val="1"/>
    </font>
    <font>
      <sz val="12"/>
      <color rgb="FFFF0000"/>
      <name val="Calibri"/>
      <family val="2"/>
      <charset val="1"/>
    </font>
    <font>
      <sz val="11"/>
      <color rgb="FFFF0000"/>
      <name val="Calibri"/>
      <family val="2"/>
      <charset val="1"/>
    </font>
    <font>
      <b/>
      <sz val="11"/>
      <color theme="0"/>
      <name val="Calibri"/>
      <family val="2"/>
      <charset val="1"/>
    </font>
    <font>
      <u/>
      <sz val="11"/>
      <color theme="1"/>
      <name val="Calibri"/>
      <family val="2"/>
      <charset val="1"/>
    </font>
    <font>
      <sz val="14"/>
      <color theme="1"/>
      <name val="Calibri"/>
      <family val="2"/>
      <charset val="1"/>
    </font>
    <font>
      <sz val="14"/>
      <name val="Arial"/>
      <family val="2"/>
      <charset val="1"/>
    </font>
    <font>
      <sz val="11"/>
      <color theme="1"/>
      <name val="Calibri"/>
      <family val="2"/>
      <charset val="1"/>
    </font>
    <font>
      <i/>
      <sz val="12"/>
      <name val="Arial"/>
      <family val="2"/>
    </font>
    <font>
      <sz val="11"/>
      <name val="Arial"/>
      <family val="2"/>
      <charset val="1"/>
    </font>
    <font>
      <sz val="6"/>
      <color rgb="FF1C1E21"/>
      <name val="Inherit"/>
    </font>
    <font>
      <sz val="6"/>
      <color rgb="FF1C1E21"/>
      <name val="Inherit"/>
    </font>
    <font>
      <u/>
      <sz val="11"/>
      <color theme="10"/>
      <name val="Calibri"/>
      <family val="2"/>
      <charset val="1"/>
    </font>
    <font>
      <sz val="14"/>
      <color theme="1"/>
      <name val="Times New Roman"/>
      <family val="1"/>
    </font>
    <font>
      <sz val="8"/>
      <color rgb="FF5A5A5A"/>
      <name val="Arial"/>
      <family val="2"/>
    </font>
    <font>
      <sz val="7"/>
      <color rgb="FF5A5A5A"/>
      <name val="Arial"/>
      <family val="2"/>
    </font>
    <font>
      <sz val="7"/>
      <color rgb="FF858585"/>
      <name val="Arial"/>
      <family val="2"/>
    </font>
    <font>
      <sz val="9"/>
      <color rgb="FF858585"/>
      <name val="Arial"/>
      <family val="2"/>
    </font>
    <font>
      <sz val="9"/>
      <color rgb="FF2A2A2A"/>
      <name val="Arial"/>
      <family val="2"/>
    </font>
    <font>
      <sz val="6"/>
      <color rgb="FF5A5A5A"/>
      <name val="Arial"/>
      <family val="2"/>
    </font>
    <font>
      <sz val="6"/>
      <color rgb="FF999999"/>
      <name val="Arial"/>
      <family val="2"/>
    </font>
    <font>
      <sz val="13"/>
      <color rgb="FF5A5A5A"/>
      <name val="Inherit"/>
    </font>
    <font>
      <b/>
      <sz val="13"/>
      <color rgb="FF5A5A5A"/>
      <name val="Inherit"/>
    </font>
    <font>
      <sz val="8"/>
      <color rgb="FF5A5A5A"/>
      <name val="FontAwesome"/>
    </font>
    <font>
      <sz val="8"/>
      <color rgb="FF858585"/>
      <name val="Arial"/>
      <family val="2"/>
    </font>
    <font>
      <b/>
      <sz val="8"/>
      <color rgb="FF5A5A5A"/>
      <name val="Arial"/>
      <family val="2"/>
    </font>
    <font>
      <sz val="9"/>
      <color rgb="FF5A5A5A"/>
      <name val="Inherit"/>
    </font>
    <font>
      <b/>
      <sz val="11"/>
      <color theme="1"/>
      <name val="Calibri"/>
      <family val="2"/>
    </font>
    <font>
      <b/>
      <sz val="12"/>
      <color theme="0"/>
      <name val="Calibri"/>
      <family val="2"/>
    </font>
    <font>
      <b/>
      <sz val="11"/>
      <color theme="0"/>
      <name val="Calibri"/>
      <family val="2"/>
    </font>
    <font>
      <b/>
      <sz val="12"/>
      <color theme="0"/>
      <name val="Arial"/>
      <family val="2"/>
    </font>
    <font>
      <sz val="12"/>
      <name val="Arial"/>
      <family val="2"/>
    </font>
    <font>
      <b/>
      <sz val="12"/>
      <color rgb="FFFFFFFF"/>
      <name val="Arial"/>
      <family val="2"/>
    </font>
    <font>
      <b/>
      <sz val="10"/>
      <color rgb="FFFFFFFF"/>
      <name val="Arial"/>
      <family val="2"/>
      <charset val="1"/>
    </font>
    <font>
      <b/>
      <sz val="10"/>
      <color theme="0"/>
      <name val="Arial"/>
      <family val="2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</font>
    <font>
      <u val="singleAccounting"/>
      <sz val="11"/>
      <color theme="1"/>
      <name val="Calibri"/>
      <family val="2"/>
      <charset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2"/>
      <color theme="1"/>
      <name val="Calibri"/>
      <family val="2"/>
      <scheme val="minor"/>
    </font>
    <font>
      <u/>
      <sz val="12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theme="5" tint="0.39979247413556324"/>
        <bgColor rgb="FFFF99CC"/>
      </patternFill>
    </fill>
    <fill>
      <patternFill patternType="solid">
        <fgColor theme="9" tint="-0.249977111117893"/>
        <bgColor rgb="FF339966"/>
      </patternFill>
    </fill>
    <fill>
      <patternFill patternType="solid">
        <fgColor theme="4" tint="-0.249977111117893"/>
        <bgColor rgb="FF666699"/>
      </patternFill>
    </fill>
    <fill>
      <patternFill patternType="solid">
        <fgColor rgb="FFFFFF00"/>
        <bgColor rgb="FFFFFF00"/>
      </patternFill>
    </fill>
    <fill>
      <patternFill patternType="solid">
        <fgColor theme="9" tint="-0.499984740745262"/>
        <bgColor rgb="FF333300"/>
      </patternFill>
    </fill>
    <fill>
      <patternFill patternType="solid">
        <fgColor theme="5" tint="-0.249977111117893"/>
        <bgColor rgb="FF993300"/>
      </patternFill>
    </fill>
    <fill>
      <patternFill patternType="solid">
        <fgColor theme="8" tint="0.59987182226020086"/>
        <bgColor rgb="FF99CCFF"/>
      </patternFill>
    </fill>
    <fill>
      <patternFill patternType="solid">
        <fgColor theme="7" tint="-0.249977111117893"/>
        <bgColor rgb="FFC55A11"/>
      </patternFill>
    </fill>
    <fill>
      <patternFill patternType="solid">
        <fgColor theme="9" tint="0.39979247413556324"/>
        <bgColor rgb="FFBDD7EE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158466"/>
        <bgColor rgb="FF008080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164" fontId="11" fillId="0" borderId="0" applyBorder="0" applyProtection="0"/>
    <xf numFmtId="0" fontId="16" fillId="0" borderId="0" applyNumberFormat="0" applyFill="0" applyBorder="0" applyAlignment="0" applyProtection="0"/>
    <xf numFmtId="9" fontId="11" fillId="0" borderId="0" applyFont="0" applyFill="0" applyBorder="0" applyAlignment="0" applyProtection="0"/>
  </cellStyleXfs>
  <cellXfs count="217">
    <xf numFmtId="0" fontId="0" fillId="0" borderId="0" xfId="0"/>
    <xf numFmtId="0" fontId="3" fillId="2" borderId="2" xfId="0" applyFont="1" applyFill="1" applyBorder="1" applyAlignment="1">
      <alignment horizontal="center"/>
    </xf>
    <xf numFmtId="164" fontId="11" fillId="0" borderId="0" xfId="1" applyBorder="1" applyProtection="1"/>
    <xf numFmtId="0" fontId="1" fillId="0" borderId="2" xfId="0" applyFont="1" applyBorder="1"/>
    <xf numFmtId="0" fontId="1" fillId="0" borderId="0" xfId="0" applyFont="1"/>
    <xf numFmtId="164" fontId="1" fillId="0" borderId="0" xfId="1" applyFont="1" applyBorder="1" applyProtection="1"/>
    <xf numFmtId="0" fontId="2" fillId="3" borderId="2" xfId="0" applyFont="1" applyFill="1" applyBorder="1" applyAlignment="1">
      <alignment horizontal="center"/>
    </xf>
    <xf numFmtId="164" fontId="2" fillId="3" borderId="2" xfId="1" applyFont="1" applyFill="1" applyBorder="1" applyAlignment="1" applyProtection="1">
      <alignment horizontal="center"/>
    </xf>
    <xf numFmtId="16" fontId="1" fillId="0" borderId="2" xfId="0" applyNumberFormat="1" applyFont="1" applyBorder="1"/>
    <xf numFmtId="164" fontId="1" fillId="0" borderId="2" xfId="1" applyFont="1" applyBorder="1" applyProtection="1"/>
    <xf numFmtId="164" fontId="1" fillId="0" borderId="2" xfId="0" applyNumberFormat="1" applyFont="1" applyBorder="1"/>
    <xf numFmtId="164" fontId="0" fillId="0" borderId="0" xfId="0" applyNumberFormat="1"/>
    <xf numFmtId="164" fontId="11" fillId="0" borderId="2" xfId="1" applyBorder="1" applyProtection="1"/>
    <xf numFmtId="16" fontId="0" fillId="0" borderId="2" xfId="0" applyNumberFormat="1" applyBorder="1"/>
    <xf numFmtId="0" fontId="0" fillId="0" borderId="2" xfId="0" applyBorder="1"/>
    <xf numFmtId="164" fontId="2" fillId="4" borderId="2" xfId="1" applyFont="1" applyFill="1" applyBorder="1" applyProtection="1"/>
    <xf numFmtId="0" fontId="0" fillId="0" borderId="3" xfId="0" applyBorder="1"/>
    <xf numFmtId="164" fontId="1" fillId="0" borderId="0" xfId="0" applyNumberFormat="1" applyFont="1"/>
    <xf numFmtId="0" fontId="1" fillId="0" borderId="3" xfId="0" applyFont="1" applyBorder="1"/>
    <xf numFmtId="164" fontId="1" fillId="0" borderId="0" xfId="0" applyNumberFormat="1" applyFont="1" applyAlignment="1">
      <alignment horizontal="left"/>
    </xf>
    <xf numFmtId="16" fontId="0" fillId="0" borderId="0" xfId="0" applyNumberFormat="1"/>
    <xf numFmtId="0" fontId="4" fillId="0" borderId="2" xfId="0" applyFont="1" applyBorder="1"/>
    <xf numFmtId="164" fontId="0" fillId="0" borderId="2" xfId="0" applyNumberFormat="1" applyBorder="1"/>
    <xf numFmtId="16" fontId="1" fillId="0" borderId="0" xfId="0" applyNumberFormat="1" applyFont="1"/>
    <xf numFmtId="165" fontId="11" fillId="0" borderId="0" xfId="1" applyNumberFormat="1" applyBorder="1" applyProtection="1"/>
    <xf numFmtId="166" fontId="11" fillId="0" borderId="0" xfId="1" applyNumberFormat="1" applyBorder="1" applyProtection="1"/>
    <xf numFmtId="2" fontId="0" fillId="0" borderId="0" xfId="0" applyNumberFormat="1"/>
    <xf numFmtId="1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164" fontId="1" fillId="5" borderId="2" xfId="1" applyFont="1" applyFill="1" applyBorder="1" applyProtection="1"/>
    <xf numFmtId="164" fontId="5" fillId="5" borderId="2" xfId="1" applyFont="1" applyFill="1" applyBorder="1" applyProtection="1"/>
    <xf numFmtId="0" fontId="1" fillId="5" borderId="2" xfId="0" applyFont="1" applyFill="1" applyBorder="1"/>
    <xf numFmtId="164" fontId="5" fillId="5" borderId="0" xfId="1" applyFont="1" applyFill="1" applyBorder="1" applyProtection="1"/>
    <xf numFmtId="0" fontId="1" fillId="5" borderId="3" xfId="0" applyFont="1" applyFill="1" applyBorder="1"/>
    <xf numFmtId="164" fontId="6" fillId="5" borderId="2" xfId="1" applyFont="1" applyFill="1" applyBorder="1" applyProtection="1"/>
    <xf numFmtId="0" fontId="0" fillId="5" borderId="2" xfId="0" applyFill="1" applyBorder="1"/>
    <xf numFmtId="1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7" fillId="7" borderId="2" xfId="0" applyFont="1" applyFill="1" applyBorder="1" applyAlignment="1">
      <alignment horizontal="center" vertical="center"/>
    </xf>
    <xf numFmtId="1" fontId="7" fillId="7" borderId="2" xfId="0" applyNumberFormat="1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center"/>
    </xf>
    <xf numFmtId="0" fontId="7" fillId="7" borderId="3" xfId="0" applyFont="1" applyFill="1" applyBorder="1" applyAlignment="1">
      <alignment horizontal="center" vertical="center"/>
    </xf>
    <xf numFmtId="1" fontId="1" fillId="0" borderId="2" xfId="1" applyNumberFormat="1" applyFont="1" applyBorder="1" applyAlignment="1" applyProtection="1">
      <alignment horizontal="center" vertical="center"/>
    </xf>
    <xf numFmtId="0" fontId="0" fillId="0" borderId="2" xfId="0" applyBorder="1" applyAlignment="1">
      <alignment horizontal="center"/>
    </xf>
    <xf numFmtId="16" fontId="0" fillId="8" borderId="2" xfId="0" applyNumberFormat="1" applyFill="1" applyBorder="1"/>
    <xf numFmtId="164" fontId="1" fillId="8" borderId="2" xfId="1" applyFont="1" applyFill="1" applyBorder="1" applyProtection="1"/>
    <xf numFmtId="1" fontId="1" fillId="8" borderId="2" xfId="1" applyNumberFormat="1" applyFont="1" applyFill="1" applyBorder="1" applyAlignment="1" applyProtection="1">
      <alignment horizontal="center" vertical="center"/>
    </xf>
    <xf numFmtId="0" fontId="0" fillId="8" borderId="2" xfId="0" applyFill="1" applyBorder="1" applyAlignment="1">
      <alignment horizontal="center"/>
    </xf>
    <xf numFmtId="0" fontId="0" fillId="8" borderId="2" xfId="0" applyFill="1" applyBorder="1"/>
    <xf numFmtId="164" fontId="0" fillId="8" borderId="0" xfId="0" applyNumberFormat="1" applyFill="1"/>
    <xf numFmtId="16" fontId="1" fillId="8" borderId="2" xfId="0" applyNumberFormat="1" applyFont="1" applyFill="1" applyBorder="1"/>
    <xf numFmtId="164" fontId="0" fillId="8" borderId="2" xfId="0" applyNumberFormat="1" applyFill="1" applyBorder="1"/>
    <xf numFmtId="0" fontId="1" fillId="8" borderId="2" xfId="0" applyFont="1" applyFill="1" applyBorder="1"/>
    <xf numFmtId="164" fontId="11" fillId="8" borderId="2" xfId="1" applyFill="1" applyBorder="1" applyProtection="1"/>
    <xf numFmtId="1" fontId="0" fillId="0" borderId="2" xfId="0" applyNumberFormat="1" applyBorder="1" applyAlignment="1">
      <alignment horizontal="center" vertical="center"/>
    </xf>
    <xf numFmtId="164" fontId="11" fillId="0" borderId="3" xfId="1" applyBorder="1" applyProtection="1"/>
    <xf numFmtId="0" fontId="0" fillId="0" borderId="4" xfId="0" applyBorder="1"/>
    <xf numFmtId="164" fontId="3" fillId="2" borderId="2" xfId="1" applyFont="1" applyFill="1" applyBorder="1" applyAlignment="1" applyProtection="1">
      <alignment horizontal="center"/>
    </xf>
    <xf numFmtId="164" fontId="3" fillId="2" borderId="4" xfId="1" applyFont="1" applyFill="1" applyBorder="1" applyAlignment="1" applyProtection="1">
      <alignment horizontal="center"/>
    </xf>
    <xf numFmtId="16" fontId="3" fillId="2" borderId="2" xfId="0" applyNumberFormat="1" applyFont="1" applyFill="1" applyBorder="1" applyAlignment="1">
      <alignment horizontal="center"/>
    </xf>
    <xf numFmtId="164" fontId="3" fillId="2" borderId="3" xfId="1" applyFont="1" applyFill="1" applyBorder="1" applyAlignment="1" applyProtection="1">
      <alignment horizontal="center"/>
    </xf>
    <xf numFmtId="164" fontId="8" fillId="0" borderId="2" xfId="1" applyFont="1" applyBorder="1" applyProtection="1"/>
    <xf numFmtId="0" fontId="1" fillId="9" borderId="2" xfId="0" applyFont="1" applyFill="1" applyBorder="1"/>
    <xf numFmtId="0" fontId="1" fillId="9" borderId="2" xfId="0" applyFont="1" applyFill="1" applyBorder="1" applyAlignment="1">
      <alignment horizontal="right"/>
    </xf>
    <xf numFmtId="9" fontId="1" fillId="9" borderId="2" xfId="0" applyNumberFormat="1" applyFont="1" applyFill="1" applyBorder="1" applyAlignment="1">
      <alignment horizontal="left"/>
    </xf>
    <xf numFmtId="0" fontId="1" fillId="9" borderId="6" xfId="0" applyFont="1" applyFill="1" applyBorder="1" applyAlignment="1">
      <alignment horizontal="center"/>
    </xf>
    <xf numFmtId="0" fontId="1" fillId="9" borderId="4" xfId="0" applyFont="1" applyFill="1" applyBorder="1" applyAlignment="1">
      <alignment horizontal="center"/>
    </xf>
    <xf numFmtId="0" fontId="7" fillId="3" borderId="2" xfId="0" applyFont="1" applyFill="1" applyBorder="1"/>
    <xf numFmtId="0" fontId="7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wrapText="1"/>
    </xf>
    <xf numFmtId="0" fontId="7" fillId="3" borderId="2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center" vertical="center"/>
    </xf>
    <xf numFmtId="3" fontId="1" fillId="0" borderId="2" xfId="0" applyNumberFormat="1" applyFont="1" applyBorder="1"/>
    <xf numFmtId="167" fontId="10" fillId="0" borderId="0" xfId="0" applyNumberFormat="1" applyFont="1"/>
    <xf numFmtId="3" fontId="0" fillId="0" borderId="0" xfId="0" applyNumberFormat="1"/>
    <xf numFmtId="3" fontId="1" fillId="0" borderId="3" xfId="0" applyNumberFormat="1" applyFont="1" applyBorder="1"/>
    <xf numFmtId="0" fontId="1" fillId="9" borderId="8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 vertical="center"/>
    </xf>
    <xf numFmtId="167" fontId="10" fillId="0" borderId="2" xfId="0" applyNumberFormat="1" applyFont="1" applyBorder="1"/>
    <xf numFmtId="0" fontId="4" fillId="0" borderId="0" xfId="0" applyFont="1"/>
    <xf numFmtId="0" fontId="2" fillId="4" borderId="2" xfId="0" applyFont="1" applyFill="1" applyBorder="1"/>
    <xf numFmtId="164" fontId="11" fillId="0" borderId="7" xfId="1" applyFill="1" applyBorder="1" applyProtection="1"/>
    <xf numFmtId="43" fontId="0" fillId="0" borderId="0" xfId="0" applyNumberFormat="1"/>
    <xf numFmtId="0" fontId="3" fillId="2" borderId="2" xfId="0" applyFont="1" applyFill="1" applyBorder="1" applyAlignment="1">
      <alignment horizontal="center"/>
    </xf>
    <xf numFmtId="0" fontId="7" fillId="3" borderId="2" xfId="0" applyFont="1" applyFill="1" applyBorder="1" applyAlignment="1">
      <alignment vertical="center" wrapText="1"/>
    </xf>
    <xf numFmtId="164" fontId="11" fillId="0" borderId="0" xfId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9" fillId="8" borderId="5" xfId="0" applyFont="1" applyFill="1" applyBorder="1" applyAlignment="1">
      <alignment vertical="center"/>
    </xf>
    <xf numFmtId="0" fontId="0" fillId="0" borderId="3" xfId="0" applyFill="1" applyBorder="1"/>
    <xf numFmtId="3" fontId="1" fillId="0" borderId="0" xfId="0" applyNumberFormat="1" applyFont="1" applyFill="1" applyBorder="1"/>
    <xf numFmtId="167" fontId="12" fillId="0" borderId="0" xfId="0" applyNumberFormat="1" applyFont="1"/>
    <xf numFmtId="167" fontId="13" fillId="0" borderId="2" xfId="0" applyNumberFormat="1" applyFont="1" applyBorder="1"/>
    <xf numFmtId="0" fontId="14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16" fillId="0" borderId="0" xfId="2" applyAlignment="1">
      <alignment vertical="center" wrapText="1"/>
    </xf>
    <xf numFmtId="0" fontId="17" fillId="0" borderId="0" xfId="0" applyFont="1"/>
    <xf numFmtId="0" fontId="17" fillId="0" borderId="2" xfId="0" applyFont="1" applyBorder="1"/>
    <xf numFmtId="0" fontId="0" fillId="0" borderId="0" xfId="0" applyAlignment="1">
      <alignment horizontal="left" vertical="center" wrapText="1" indent="1"/>
    </xf>
    <xf numFmtId="0" fontId="19" fillId="0" borderId="0" xfId="0" applyFont="1" applyAlignment="1">
      <alignment horizontal="left" vertical="center" wrapText="1" indent="1"/>
    </xf>
    <xf numFmtId="0" fontId="20" fillId="0" borderId="0" xfId="0" applyFont="1" applyAlignment="1">
      <alignment horizontal="left" vertical="center" wrapText="1" indent="1"/>
    </xf>
    <xf numFmtId="0" fontId="21" fillId="0" borderId="0" xfId="0" applyFont="1" applyAlignment="1">
      <alignment vertical="center" wrapText="1"/>
    </xf>
    <xf numFmtId="0" fontId="22" fillId="0" borderId="0" xfId="0" applyFont="1" applyAlignment="1">
      <alignment horizontal="left" vertical="center" wrapText="1" indent="2"/>
    </xf>
    <xf numFmtId="0" fontId="16" fillId="0" borderId="0" xfId="2" applyAlignment="1">
      <alignment horizontal="left" vertical="center" wrapText="1" indent="2"/>
    </xf>
    <xf numFmtId="0" fontId="16" fillId="0" borderId="0" xfId="2" applyAlignment="1">
      <alignment horizontal="left" vertical="center" wrapText="1" indent="1"/>
    </xf>
    <xf numFmtId="0" fontId="23" fillId="0" borderId="0" xfId="0" applyFont="1" applyAlignment="1">
      <alignment horizontal="left" vertical="center" wrapText="1" indent="2"/>
    </xf>
    <xf numFmtId="0" fontId="24" fillId="0" borderId="0" xfId="0" applyFont="1" applyAlignment="1">
      <alignment horizontal="left" vertical="center" wrapText="1" indent="2"/>
    </xf>
    <xf numFmtId="0" fontId="25" fillId="0" borderId="0" xfId="0" applyFont="1" applyAlignment="1">
      <alignment horizontal="left" vertical="center" wrapText="1" indent="1"/>
    </xf>
    <xf numFmtId="0" fontId="27" fillId="0" borderId="0" xfId="0" applyFont="1" applyAlignment="1">
      <alignment horizontal="left" vertical="center" wrapText="1" indent="1"/>
    </xf>
    <xf numFmtId="0" fontId="18" fillId="0" borderId="0" xfId="0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 indent="12"/>
    </xf>
    <xf numFmtId="0" fontId="16" fillId="0" borderId="0" xfId="2" applyAlignment="1">
      <alignment horizontal="left" vertical="center" wrapText="1" indent="12"/>
    </xf>
    <xf numFmtId="0" fontId="29" fillId="0" borderId="0" xfId="0" applyFont="1" applyAlignment="1">
      <alignment vertical="center" wrapText="1"/>
    </xf>
    <xf numFmtId="0" fontId="18" fillId="0" borderId="0" xfId="0" applyFont="1" applyAlignment="1">
      <alignment horizontal="right" vertical="center" wrapText="1" indent="13"/>
    </xf>
    <xf numFmtId="0" fontId="16" fillId="0" borderId="0" xfId="2" applyAlignment="1">
      <alignment horizontal="right" vertical="center" wrapText="1" indent="13"/>
    </xf>
    <xf numFmtId="0" fontId="16" fillId="0" borderId="0" xfId="2" applyAlignment="1">
      <alignment horizontal="center" vertical="center" wrapText="1"/>
    </xf>
    <xf numFmtId="0" fontId="30" fillId="0" borderId="0" xfId="0" applyFont="1" applyAlignment="1">
      <alignment horizontal="left" vertical="center" wrapText="1" indent="1"/>
    </xf>
    <xf numFmtId="0" fontId="28" fillId="0" borderId="0" xfId="0" applyFont="1" applyAlignment="1">
      <alignment horizontal="left" vertical="center" wrapText="1" indent="1"/>
    </xf>
    <xf numFmtId="0" fontId="16" fillId="0" borderId="0" xfId="2" applyAlignment="1">
      <alignment horizontal="left" vertical="center" indent="1"/>
    </xf>
    <xf numFmtId="0" fontId="0" fillId="0" borderId="0" xfId="0" applyAlignment="1">
      <alignment horizontal="right"/>
    </xf>
    <xf numFmtId="0" fontId="17" fillId="0" borderId="2" xfId="0" applyFont="1" applyBorder="1" applyAlignment="1">
      <alignment horizontal="right"/>
    </xf>
    <xf numFmtId="0" fontId="0" fillId="0" borderId="2" xfId="0" applyBorder="1" applyAlignment="1">
      <alignment horizontal="right"/>
    </xf>
    <xf numFmtId="164" fontId="11" fillId="12" borderId="2" xfId="1" applyFill="1" applyBorder="1" applyProtection="1"/>
    <xf numFmtId="0" fontId="0" fillId="12" borderId="2" xfId="0" applyFill="1" applyBorder="1"/>
    <xf numFmtId="164" fontId="11" fillId="11" borderId="2" xfId="1" applyFill="1" applyBorder="1" applyProtection="1"/>
    <xf numFmtId="0" fontId="0" fillId="11" borderId="2" xfId="0" applyFill="1" applyBorder="1"/>
    <xf numFmtId="43" fontId="0" fillId="0" borderId="2" xfId="0" applyNumberFormat="1" applyBorder="1"/>
    <xf numFmtId="164" fontId="0" fillId="0" borderId="2" xfId="1" applyFont="1" applyBorder="1" applyAlignment="1" applyProtection="1">
      <alignment horizontal="center"/>
    </xf>
    <xf numFmtId="0" fontId="33" fillId="13" borderId="2" xfId="0" applyFont="1" applyFill="1" applyBorder="1" applyAlignment="1">
      <alignment horizontal="center"/>
    </xf>
    <xf numFmtId="164" fontId="11" fillId="0" borderId="0" xfId="1" applyBorder="1" applyAlignment="1" applyProtection="1">
      <alignment vertical="center"/>
    </xf>
    <xf numFmtId="0" fontId="0" fillId="0" borderId="0" xfId="0" applyAlignment="1">
      <alignment vertical="center"/>
    </xf>
    <xf numFmtId="0" fontId="7" fillId="3" borderId="2" xfId="0" applyFont="1" applyFill="1" applyBorder="1" applyAlignment="1">
      <alignment vertical="center"/>
    </xf>
    <xf numFmtId="16" fontId="1" fillId="0" borderId="0" xfId="0" applyNumberFormat="1" applyFont="1" applyBorder="1"/>
    <xf numFmtId="0" fontId="1" fillId="0" borderId="2" xfId="0" applyFont="1" applyFill="1" applyBorder="1"/>
    <xf numFmtId="16" fontId="1" fillId="0" borderId="3" xfId="0" applyNumberFormat="1" applyFont="1" applyBorder="1"/>
    <xf numFmtId="164" fontId="11" fillId="0" borderId="0" xfId="1" applyFill="1" applyBorder="1" applyProtection="1"/>
    <xf numFmtId="164" fontId="0" fillId="0" borderId="2" xfId="1" applyFont="1" applyBorder="1" applyProtection="1"/>
    <xf numFmtId="0" fontId="3" fillId="2" borderId="2" xfId="0" applyFont="1" applyFill="1" applyBorder="1" applyAlignment="1">
      <alignment horizontal="center"/>
    </xf>
    <xf numFmtId="164" fontId="0" fillId="0" borderId="0" xfId="1" applyFont="1" applyBorder="1" applyProtection="1"/>
    <xf numFmtId="16" fontId="0" fillId="0" borderId="2" xfId="0" applyNumberFormat="1" applyFill="1" applyBorder="1"/>
    <xf numFmtId="0" fontId="0" fillId="0" borderId="2" xfId="0" applyFill="1" applyBorder="1"/>
    <xf numFmtId="0" fontId="31" fillId="15" borderId="2" xfId="0" applyFont="1" applyFill="1" applyBorder="1" applyAlignment="1">
      <alignment horizontal="center"/>
    </xf>
    <xf numFmtId="0" fontId="35" fillId="0" borderId="0" xfId="0" applyFont="1"/>
    <xf numFmtId="0" fontId="35" fillId="0" borderId="2" xfId="0" applyFont="1" applyBorder="1" applyAlignment="1">
      <alignment horizontal="center"/>
    </xf>
    <xf numFmtId="4" fontId="35" fillId="0" borderId="2" xfId="0" applyNumberFormat="1" applyFont="1" applyBorder="1"/>
    <xf numFmtId="0" fontId="35" fillId="0" borderId="10" xfId="0" applyFont="1" applyBorder="1" applyAlignment="1">
      <alignment horizontal="center"/>
    </xf>
    <xf numFmtId="0" fontId="36" fillId="16" borderId="2" xfId="0" applyFont="1" applyFill="1" applyBorder="1" applyAlignment="1">
      <alignment horizontal="center"/>
    </xf>
    <xf numFmtId="14" fontId="35" fillId="0" borderId="2" xfId="0" applyNumberFormat="1" applyFont="1" applyBorder="1" applyAlignment="1">
      <alignment horizontal="center"/>
    </xf>
    <xf numFmtId="0" fontId="35" fillId="0" borderId="2" xfId="0" applyFont="1" applyBorder="1"/>
    <xf numFmtId="4" fontId="0" fillId="0" borderId="2" xfId="0" applyNumberFormat="1" applyBorder="1"/>
    <xf numFmtId="0" fontId="35" fillId="0" borderId="0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37" fillId="16" borderId="2" xfId="0" applyFont="1" applyFill="1" applyBorder="1" applyAlignment="1">
      <alignment horizontal="center"/>
    </xf>
    <xf numFmtId="14" fontId="0" fillId="0" borderId="2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9" fontId="0" fillId="0" borderId="2" xfId="3" applyFont="1" applyBorder="1" applyAlignment="1">
      <alignment horizontal="center"/>
    </xf>
    <xf numFmtId="8" fontId="0" fillId="0" borderId="0" xfId="0" applyNumberFormat="1"/>
    <xf numFmtId="4" fontId="0" fillId="0" borderId="0" xfId="0" applyNumberFormat="1"/>
    <xf numFmtId="16" fontId="35" fillId="0" borderId="2" xfId="0" applyNumberFormat="1" applyFont="1" applyBorder="1" applyAlignment="1">
      <alignment horizontal="center"/>
    </xf>
    <xf numFmtId="16" fontId="0" fillId="0" borderId="2" xfId="0" applyNumberFormat="1" applyBorder="1" applyAlignment="1">
      <alignment horizontal="center"/>
    </xf>
    <xf numFmtId="164" fontId="1" fillId="18" borderId="2" xfId="1" applyFont="1" applyFill="1" applyBorder="1" applyProtection="1"/>
    <xf numFmtId="0" fontId="1" fillId="0" borderId="3" xfId="0" applyFont="1" applyFill="1" applyBorder="1" applyAlignment="1">
      <alignment horizontal="center" vertical="center"/>
    </xf>
    <xf numFmtId="164" fontId="1" fillId="0" borderId="0" xfId="1" applyFont="1" applyFill="1" applyBorder="1" applyProtection="1"/>
    <xf numFmtId="164" fontId="11" fillId="12" borderId="0" xfId="1" applyFill="1" applyBorder="1" applyProtection="1"/>
    <xf numFmtId="4" fontId="0" fillId="0" borderId="2" xfId="0" applyNumberFormat="1" applyBorder="1" applyAlignment="1">
      <alignment horizontal="center"/>
    </xf>
    <xf numFmtId="0" fontId="39" fillId="19" borderId="2" xfId="0" applyFont="1" applyFill="1" applyBorder="1" applyAlignment="1">
      <alignment wrapText="1"/>
    </xf>
    <xf numFmtId="0" fontId="39" fillId="19" borderId="3" xfId="0" applyFont="1" applyFill="1" applyBorder="1" applyAlignment="1">
      <alignment wrapText="1"/>
    </xf>
    <xf numFmtId="0" fontId="40" fillId="0" borderId="0" xfId="0" applyFont="1"/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wrapText="1"/>
    </xf>
    <xf numFmtId="0" fontId="0" fillId="0" borderId="0" xfId="0" applyAlignment="1">
      <alignment wrapText="1"/>
    </xf>
    <xf numFmtId="8" fontId="0" fillId="0" borderId="2" xfId="0" applyNumberFormat="1" applyBorder="1"/>
    <xf numFmtId="0" fontId="0" fillId="0" borderId="0" xfId="0" applyAlignment="1">
      <alignment horizontal="right" vertical="center"/>
    </xf>
    <xf numFmtId="0" fontId="34" fillId="13" borderId="0" xfId="0" applyFont="1" applyFill="1" applyAlignment="1">
      <alignment horizontal="center"/>
    </xf>
    <xf numFmtId="4" fontId="38" fillId="17" borderId="0" xfId="0" applyNumberFormat="1" applyFont="1" applyFill="1" applyBorder="1" applyAlignment="1">
      <alignment horizontal="center"/>
    </xf>
    <xf numFmtId="3" fontId="0" fillId="0" borderId="2" xfId="0" applyNumberFormat="1" applyBorder="1"/>
    <xf numFmtId="0" fontId="31" fillId="0" borderId="2" xfId="0" applyFont="1" applyBorder="1"/>
    <xf numFmtId="164" fontId="31" fillId="0" borderId="2" xfId="1" applyFont="1" applyBorder="1" applyAlignment="1" applyProtection="1">
      <alignment horizontal="right"/>
    </xf>
    <xf numFmtId="0" fontId="31" fillId="0" borderId="2" xfId="0" applyFont="1" applyBorder="1" applyAlignment="1">
      <alignment horizontal="right"/>
    </xf>
    <xf numFmtId="3" fontId="1" fillId="12" borderId="2" xfId="0" applyNumberFormat="1" applyFont="1" applyFill="1" applyBorder="1"/>
    <xf numFmtId="0" fontId="0" fillId="20" borderId="1" xfId="0" applyFill="1" applyBorder="1" applyAlignment="1">
      <alignment horizontal="center"/>
    </xf>
    <xf numFmtId="164" fontId="41" fillId="0" borderId="2" xfId="1" applyFont="1" applyBorder="1" applyProtection="1"/>
    <xf numFmtId="4" fontId="33" fillId="13" borderId="0" xfId="0" applyNumberFormat="1" applyFont="1" applyFill="1" applyBorder="1" applyAlignment="1">
      <alignment horizontal="center"/>
    </xf>
    <xf numFmtId="4" fontId="0" fillId="0" borderId="0" xfId="0" applyNumberFormat="1" applyBorder="1"/>
    <xf numFmtId="0" fontId="8" fillId="0" borderId="0" xfId="0" applyFont="1"/>
    <xf numFmtId="0" fontId="44" fillId="0" borderId="2" xfId="0" applyFont="1" applyBorder="1"/>
    <xf numFmtId="0" fontId="44" fillId="0" borderId="2" xfId="0" applyFont="1" applyFill="1" applyBorder="1"/>
    <xf numFmtId="0" fontId="44" fillId="0" borderId="2" xfId="0" applyFont="1" applyFill="1" applyBorder="1" applyAlignment="1">
      <alignment wrapText="1"/>
    </xf>
    <xf numFmtId="164" fontId="3" fillId="2" borderId="0" xfId="1" applyFont="1" applyFill="1" applyBorder="1" applyAlignment="1" applyProtection="1">
      <alignment horizontal="center"/>
    </xf>
    <xf numFmtId="0" fontId="1" fillId="9" borderId="6" xfId="0" applyFont="1" applyFill="1" applyBorder="1"/>
    <xf numFmtId="16" fontId="35" fillId="0" borderId="2" xfId="0" applyNumberFormat="1" applyFont="1" applyBorder="1"/>
    <xf numFmtId="0" fontId="45" fillId="0" borderId="2" xfId="0" applyFont="1" applyBorder="1"/>
    <xf numFmtId="0" fontId="9" fillId="8" borderId="5" xfId="0" applyFont="1" applyFill="1" applyBorder="1" applyAlignment="1">
      <alignment horizontal="center" vertical="center"/>
    </xf>
    <xf numFmtId="0" fontId="9" fillId="8" borderId="1" xfId="0" applyFont="1" applyFill="1" applyBorder="1" applyAlignment="1">
      <alignment horizontal="center" vertical="center"/>
    </xf>
    <xf numFmtId="0" fontId="32" fillId="13" borderId="2" xfId="0" applyFont="1" applyFill="1" applyBorder="1" applyAlignment="1">
      <alignment horizontal="center"/>
    </xf>
    <xf numFmtId="0" fontId="9" fillId="8" borderId="7" xfId="0" applyFont="1" applyFill="1" applyBorder="1" applyAlignment="1">
      <alignment horizontal="center" vertical="center"/>
    </xf>
    <xf numFmtId="0" fontId="0" fillId="14" borderId="6" xfId="0" applyFill="1" applyBorder="1" applyAlignment="1">
      <alignment horizontal="center"/>
    </xf>
    <xf numFmtId="0" fontId="0" fillId="14" borderId="8" xfId="0" applyFill="1" applyBorder="1" applyAlignment="1">
      <alignment horizontal="center"/>
    </xf>
    <xf numFmtId="0" fontId="0" fillId="14" borderId="4" xfId="0" applyFill="1" applyBorder="1" applyAlignment="1">
      <alignment horizontal="center"/>
    </xf>
    <xf numFmtId="164" fontId="11" fillId="0" borderId="1" xfId="1" applyBorder="1" applyAlignment="1" applyProtection="1">
      <alignment horizontal="center"/>
    </xf>
    <xf numFmtId="0" fontId="9" fillId="8" borderId="9" xfId="0" applyFont="1" applyFill="1" applyBorder="1" applyAlignment="1">
      <alignment horizontal="center" vertical="center"/>
    </xf>
    <xf numFmtId="4" fontId="33" fillId="13" borderId="6" xfId="0" applyNumberFormat="1" applyFont="1" applyFill="1" applyBorder="1" applyAlignment="1">
      <alignment horizontal="center"/>
    </xf>
    <xf numFmtId="4" fontId="33" fillId="13" borderId="8" xfId="0" applyNumberFormat="1" applyFont="1" applyFill="1" applyBorder="1" applyAlignment="1">
      <alignment horizontal="center"/>
    </xf>
    <xf numFmtId="4" fontId="33" fillId="13" borderId="4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4" fontId="38" fillId="17" borderId="6" xfId="0" applyNumberFormat="1" applyFont="1" applyFill="1" applyBorder="1" applyAlignment="1">
      <alignment horizontal="center"/>
    </xf>
    <xf numFmtId="4" fontId="38" fillId="17" borderId="8" xfId="0" applyNumberFormat="1" applyFont="1" applyFill="1" applyBorder="1" applyAlignment="1">
      <alignment horizontal="center"/>
    </xf>
    <xf numFmtId="4" fontId="38" fillId="17" borderId="4" xfId="0" applyNumberFormat="1" applyFont="1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0" fontId="0" fillId="20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0" fillId="11" borderId="1" xfId="0" applyFill="1" applyBorder="1" applyAlignment="1">
      <alignment horizontal="center"/>
    </xf>
    <xf numFmtId="0" fontId="34" fillId="13" borderId="0" xfId="0" applyFont="1" applyFill="1" applyAlignment="1">
      <alignment horizontal="center"/>
    </xf>
    <xf numFmtId="0" fontId="38" fillId="13" borderId="0" xfId="0" applyFont="1" applyFill="1" applyAlignment="1">
      <alignment horizontal="center"/>
    </xf>
    <xf numFmtId="0" fontId="7" fillId="6" borderId="0" xfId="0" applyFont="1" applyFill="1" applyAlignment="1">
      <alignment horizontal="center"/>
    </xf>
    <xf numFmtId="0" fontId="31" fillId="11" borderId="2" xfId="0" applyFont="1" applyFill="1" applyBorder="1" applyAlignment="1">
      <alignment horizontal="center"/>
    </xf>
    <xf numFmtId="0" fontId="1" fillId="10" borderId="2" xfId="0" applyFont="1" applyFill="1" applyBorder="1" applyAlignment="1">
      <alignment horizontal="center"/>
    </xf>
  </cellXfs>
  <cellStyles count="4">
    <cellStyle name="Hipervínculo" xfId="2" builtinId="8"/>
    <cellStyle name="Millares" xfId="1" builtinId="3"/>
    <cellStyle name="Normal" xfId="0" builtinId="0"/>
    <cellStyle name="Porcentaje" xfId="3" builtinId="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548235"/>
      <rgbColor rgb="FF800080"/>
      <rgbColor rgb="FF008080"/>
      <rgbColor rgb="FFA9D18E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BF9000"/>
      <rgbColor rgb="FFC55A11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2F5597"/>
      <rgbColor rgb="FF38572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26" Type="http://schemas.openxmlformats.org/officeDocument/2006/relationships/image" Target="../media/image19.jpeg"/><Relationship Id="rId21" Type="http://schemas.openxmlformats.org/officeDocument/2006/relationships/hyperlink" Target="https://aei.com.do/cbr/4797" TargetMode="External"/><Relationship Id="rId42" Type="http://schemas.openxmlformats.org/officeDocument/2006/relationships/image" Target="../media/image27.jpeg"/><Relationship Id="rId47" Type="http://schemas.openxmlformats.org/officeDocument/2006/relationships/hyperlink" Target="https://aei.com.do/cbr/4784" TargetMode="External"/><Relationship Id="rId63" Type="http://schemas.openxmlformats.org/officeDocument/2006/relationships/hyperlink" Target="https://aei.com.do/cbr/4776" TargetMode="External"/><Relationship Id="rId68" Type="http://schemas.openxmlformats.org/officeDocument/2006/relationships/image" Target="../media/image40.jpeg"/><Relationship Id="rId16" Type="http://schemas.openxmlformats.org/officeDocument/2006/relationships/image" Target="../media/image14.jpeg"/><Relationship Id="rId11" Type="http://schemas.openxmlformats.org/officeDocument/2006/relationships/hyperlink" Target="https://aei.com.do/cbr/4802" TargetMode="External"/><Relationship Id="rId24" Type="http://schemas.openxmlformats.org/officeDocument/2006/relationships/image" Target="../media/image18.jpeg"/><Relationship Id="rId32" Type="http://schemas.openxmlformats.org/officeDocument/2006/relationships/image" Target="../media/image22.jpeg"/><Relationship Id="rId37" Type="http://schemas.openxmlformats.org/officeDocument/2006/relationships/hyperlink" Target="https://aei.com.do/cbr/4789" TargetMode="External"/><Relationship Id="rId40" Type="http://schemas.openxmlformats.org/officeDocument/2006/relationships/image" Target="../media/image26.jpeg"/><Relationship Id="rId45" Type="http://schemas.openxmlformats.org/officeDocument/2006/relationships/hyperlink" Target="https://aei.com.do/cbr/4785" TargetMode="External"/><Relationship Id="rId53" Type="http://schemas.openxmlformats.org/officeDocument/2006/relationships/hyperlink" Target="https://aei.com.do/cbr/4781" TargetMode="External"/><Relationship Id="rId58" Type="http://schemas.openxmlformats.org/officeDocument/2006/relationships/image" Target="../media/image35.jpeg"/><Relationship Id="rId66" Type="http://schemas.openxmlformats.org/officeDocument/2006/relationships/image" Target="../media/image39.jpeg"/><Relationship Id="rId74" Type="http://schemas.openxmlformats.org/officeDocument/2006/relationships/image" Target="../media/image43.jpeg"/><Relationship Id="rId5" Type="http://schemas.openxmlformats.org/officeDocument/2006/relationships/hyperlink" Target="https://aei.com.do/cbr/4805" TargetMode="External"/><Relationship Id="rId61" Type="http://schemas.openxmlformats.org/officeDocument/2006/relationships/hyperlink" Target="https://aei.com.do/cbr/4777" TargetMode="External"/><Relationship Id="rId19" Type="http://schemas.openxmlformats.org/officeDocument/2006/relationships/hyperlink" Target="https://aei.com.do/cbr/4798" TargetMode="External"/><Relationship Id="rId14" Type="http://schemas.openxmlformats.org/officeDocument/2006/relationships/image" Target="../media/image13.jpeg"/><Relationship Id="rId22" Type="http://schemas.openxmlformats.org/officeDocument/2006/relationships/image" Target="../media/image17.jpeg"/><Relationship Id="rId27" Type="http://schemas.openxmlformats.org/officeDocument/2006/relationships/hyperlink" Target="https://aei.com.do/cbr/4794" TargetMode="External"/><Relationship Id="rId30" Type="http://schemas.openxmlformats.org/officeDocument/2006/relationships/image" Target="../media/image21.jpeg"/><Relationship Id="rId35" Type="http://schemas.openxmlformats.org/officeDocument/2006/relationships/hyperlink" Target="https://aei.com.do/cbr/4790" TargetMode="External"/><Relationship Id="rId43" Type="http://schemas.openxmlformats.org/officeDocument/2006/relationships/hyperlink" Target="https://aei.com.do/cbr/4786" TargetMode="External"/><Relationship Id="rId48" Type="http://schemas.openxmlformats.org/officeDocument/2006/relationships/image" Target="../media/image30.jpeg"/><Relationship Id="rId56" Type="http://schemas.openxmlformats.org/officeDocument/2006/relationships/image" Target="../media/image34.jpeg"/><Relationship Id="rId64" Type="http://schemas.openxmlformats.org/officeDocument/2006/relationships/image" Target="../media/image38.jpeg"/><Relationship Id="rId69" Type="http://schemas.openxmlformats.org/officeDocument/2006/relationships/hyperlink" Target="https://aei.com.do/cbr/4773" TargetMode="External"/><Relationship Id="rId77" Type="http://schemas.openxmlformats.org/officeDocument/2006/relationships/hyperlink" Target="https://aei.com.do/directorio/agentes" TargetMode="External"/><Relationship Id="rId8" Type="http://schemas.openxmlformats.org/officeDocument/2006/relationships/image" Target="../media/image10.jpeg"/><Relationship Id="rId51" Type="http://schemas.openxmlformats.org/officeDocument/2006/relationships/hyperlink" Target="https://aei.com.do/cbr/4782" TargetMode="External"/><Relationship Id="rId72" Type="http://schemas.openxmlformats.org/officeDocument/2006/relationships/image" Target="../media/image42.jpeg"/><Relationship Id="rId3" Type="http://schemas.openxmlformats.org/officeDocument/2006/relationships/hyperlink" Target="https://aei.com.do/ayuda/preguntas" TargetMode="External"/><Relationship Id="rId12" Type="http://schemas.openxmlformats.org/officeDocument/2006/relationships/image" Target="../media/image12.jpeg"/><Relationship Id="rId17" Type="http://schemas.openxmlformats.org/officeDocument/2006/relationships/hyperlink" Target="https://aei.com.do/cbr/4799" TargetMode="External"/><Relationship Id="rId25" Type="http://schemas.openxmlformats.org/officeDocument/2006/relationships/hyperlink" Target="https://aei.com.do/cbr/4795" TargetMode="External"/><Relationship Id="rId33" Type="http://schemas.openxmlformats.org/officeDocument/2006/relationships/hyperlink" Target="https://aei.com.do/cbr/4791" TargetMode="External"/><Relationship Id="rId38" Type="http://schemas.openxmlformats.org/officeDocument/2006/relationships/image" Target="../media/image25.jpeg"/><Relationship Id="rId46" Type="http://schemas.openxmlformats.org/officeDocument/2006/relationships/image" Target="../media/image29.jpeg"/><Relationship Id="rId59" Type="http://schemas.openxmlformats.org/officeDocument/2006/relationships/hyperlink" Target="https://aei.com.do/cbr/4778" TargetMode="External"/><Relationship Id="rId67" Type="http://schemas.openxmlformats.org/officeDocument/2006/relationships/hyperlink" Target="https://aei.com.do/cbr/4774" TargetMode="External"/><Relationship Id="rId20" Type="http://schemas.openxmlformats.org/officeDocument/2006/relationships/image" Target="../media/image16.jpeg"/><Relationship Id="rId41" Type="http://schemas.openxmlformats.org/officeDocument/2006/relationships/hyperlink" Target="https://aei.com.do/cbr/4787" TargetMode="External"/><Relationship Id="rId54" Type="http://schemas.openxmlformats.org/officeDocument/2006/relationships/image" Target="../media/image33.jpeg"/><Relationship Id="rId62" Type="http://schemas.openxmlformats.org/officeDocument/2006/relationships/image" Target="../media/image37.jpeg"/><Relationship Id="rId70" Type="http://schemas.openxmlformats.org/officeDocument/2006/relationships/image" Target="../media/image41.jpeg"/><Relationship Id="rId75" Type="http://schemas.openxmlformats.org/officeDocument/2006/relationships/hyperlink" Target="https://aei.com.do/cbr/4770" TargetMode="External"/><Relationship Id="rId1" Type="http://schemas.openxmlformats.org/officeDocument/2006/relationships/hyperlink" Target="https://aei.com.do/" TargetMode="External"/><Relationship Id="rId6" Type="http://schemas.openxmlformats.org/officeDocument/2006/relationships/image" Target="../media/image9.jpeg"/><Relationship Id="rId15" Type="http://schemas.openxmlformats.org/officeDocument/2006/relationships/hyperlink" Target="https://aei.com.do/cbr/4800" TargetMode="External"/><Relationship Id="rId23" Type="http://schemas.openxmlformats.org/officeDocument/2006/relationships/hyperlink" Target="https://aei.com.do/cbr/4796" TargetMode="External"/><Relationship Id="rId28" Type="http://schemas.openxmlformats.org/officeDocument/2006/relationships/image" Target="../media/image20.jpeg"/><Relationship Id="rId36" Type="http://schemas.openxmlformats.org/officeDocument/2006/relationships/image" Target="../media/image24.jpeg"/><Relationship Id="rId49" Type="http://schemas.openxmlformats.org/officeDocument/2006/relationships/hyperlink" Target="https://aei.com.do/cbr/4783" TargetMode="External"/><Relationship Id="rId57" Type="http://schemas.openxmlformats.org/officeDocument/2006/relationships/hyperlink" Target="https://aei.com.do/cbr/4779" TargetMode="External"/><Relationship Id="rId10" Type="http://schemas.openxmlformats.org/officeDocument/2006/relationships/image" Target="../media/image11.jpeg"/><Relationship Id="rId31" Type="http://schemas.openxmlformats.org/officeDocument/2006/relationships/hyperlink" Target="https://aei.com.do/cbr/4792" TargetMode="External"/><Relationship Id="rId44" Type="http://schemas.openxmlformats.org/officeDocument/2006/relationships/image" Target="../media/image28.jpeg"/><Relationship Id="rId52" Type="http://schemas.openxmlformats.org/officeDocument/2006/relationships/image" Target="../media/image32.jpeg"/><Relationship Id="rId60" Type="http://schemas.openxmlformats.org/officeDocument/2006/relationships/image" Target="../media/image36.jpeg"/><Relationship Id="rId65" Type="http://schemas.openxmlformats.org/officeDocument/2006/relationships/hyperlink" Target="https://aei.com.do/cbr/4775" TargetMode="External"/><Relationship Id="rId73" Type="http://schemas.openxmlformats.org/officeDocument/2006/relationships/hyperlink" Target="https://aei.com.do/cbr/4771" TargetMode="External"/><Relationship Id="rId78" Type="http://schemas.openxmlformats.org/officeDocument/2006/relationships/image" Target="../media/image45.png"/><Relationship Id="rId4" Type="http://schemas.openxmlformats.org/officeDocument/2006/relationships/image" Target="../media/image8.png"/><Relationship Id="rId9" Type="http://schemas.openxmlformats.org/officeDocument/2006/relationships/hyperlink" Target="https://aei.com.do/cbr/4803" TargetMode="External"/><Relationship Id="rId13" Type="http://schemas.openxmlformats.org/officeDocument/2006/relationships/hyperlink" Target="https://aei.com.do/cbr/4801" TargetMode="External"/><Relationship Id="rId18" Type="http://schemas.openxmlformats.org/officeDocument/2006/relationships/image" Target="../media/image15.jpeg"/><Relationship Id="rId39" Type="http://schemas.openxmlformats.org/officeDocument/2006/relationships/hyperlink" Target="https://aei.com.do/cbr/4788" TargetMode="External"/><Relationship Id="rId34" Type="http://schemas.openxmlformats.org/officeDocument/2006/relationships/image" Target="../media/image23.jpeg"/><Relationship Id="rId50" Type="http://schemas.openxmlformats.org/officeDocument/2006/relationships/image" Target="../media/image31.jpeg"/><Relationship Id="rId55" Type="http://schemas.openxmlformats.org/officeDocument/2006/relationships/hyperlink" Target="https://aei.com.do/cbr/4780" TargetMode="External"/><Relationship Id="rId76" Type="http://schemas.openxmlformats.org/officeDocument/2006/relationships/image" Target="../media/image44.jpeg"/><Relationship Id="rId7" Type="http://schemas.openxmlformats.org/officeDocument/2006/relationships/hyperlink" Target="https://aei.com.do/cbr/4804" TargetMode="External"/><Relationship Id="rId71" Type="http://schemas.openxmlformats.org/officeDocument/2006/relationships/hyperlink" Target="https://aei.com.do/cbr/4772" TargetMode="External"/><Relationship Id="rId2" Type="http://schemas.openxmlformats.org/officeDocument/2006/relationships/image" Target="../media/image7.png"/><Relationship Id="rId29" Type="http://schemas.openxmlformats.org/officeDocument/2006/relationships/hyperlink" Target="https://aei.com.do/cbr/4793" TargetMode="Externa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42</xdr:row>
      <xdr:rowOff>0</xdr:rowOff>
    </xdr:from>
    <xdr:to>
      <xdr:col>6</xdr:col>
      <xdr:colOff>190500</xdr:colOff>
      <xdr:row>42</xdr:row>
      <xdr:rowOff>190500</xdr:rowOff>
    </xdr:to>
    <xdr:pic>
      <xdr:nvPicPr>
        <xdr:cNvPr id="3" name="Imagen 2" descr="https://static.xx.fbcdn.net/rsrc.php/v4/yT/r/Dc7-7AgwkwS.png?_nc_eui2=AeFgIIQQTozRYm3CwdvJKlaMBUApXaCIKdsFQCldoIgp2_OVLrQRZwfzqamFD35dtN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0600" y="8001000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44</xdr:row>
      <xdr:rowOff>0</xdr:rowOff>
    </xdr:from>
    <xdr:to>
      <xdr:col>6</xdr:col>
      <xdr:colOff>190500</xdr:colOff>
      <xdr:row>44</xdr:row>
      <xdr:rowOff>190500</xdr:rowOff>
    </xdr:to>
    <xdr:pic>
      <xdr:nvPicPr>
        <xdr:cNvPr id="5" name="Imagen 4" descr="https://static.xx.fbcdn.net/rsrc.php/v4/yT/r/Dc7-7AgwkwS.png?_nc_eui2=AeFgIIQQTozRYm3CwdvJKlaMBUApXaCIKdsFQCldoIgp2_OVLrQRZwfzqamFD35dtN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0600" y="8451850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46</xdr:row>
      <xdr:rowOff>0</xdr:rowOff>
    </xdr:from>
    <xdr:to>
      <xdr:col>6</xdr:col>
      <xdr:colOff>190500</xdr:colOff>
      <xdr:row>46</xdr:row>
      <xdr:rowOff>190500</xdr:rowOff>
    </xdr:to>
    <xdr:pic>
      <xdr:nvPicPr>
        <xdr:cNvPr id="6" name="Imagen 5" descr="https://static.xx.fbcdn.net/rsrc.php/v4/yj/r/LPnnw6HJjJT.png?_nc_eui2=AeFGkUEGwMp6lvra326lteT41cVeDE3fb8_VxV4MTd9vzx3ospTA2gfn8RYg7S_aaXU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0600" y="8820150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48</xdr:row>
      <xdr:rowOff>0</xdr:rowOff>
    </xdr:from>
    <xdr:to>
      <xdr:col>6</xdr:col>
      <xdr:colOff>190500</xdr:colOff>
      <xdr:row>48</xdr:row>
      <xdr:rowOff>190500</xdr:rowOff>
    </xdr:to>
    <xdr:pic>
      <xdr:nvPicPr>
        <xdr:cNvPr id="7" name="Imagen 6" descr="https://static.xx.fbcdn.net/rsrc.php/v4/yE/r/mp_faH0qhrY.png?_nc_eui2=AeGhpX_wy4aAZKCQxRVQsGq6C5hmjcLAA_8LmGaNwsAD_-LC3AnbEQ-vqVe68vbOekI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0600" y="9372600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45</xdr:row>
      <xdr:rowOff>0</xdr:rowOff>
    </xdr:from>
    <xdr:to>
      <xdr:col>9</xdr:col>
      <xdr:colOff>190500</xdr:colOff>
      <xdr:row>45</xdr:row>
      <xdr:rowOff>190500</xdr:rowOff>
    </xdr:to>
    <xdr:pic>
      <xdr:nvPicPr>
        <xdr:cNvPr id="8" name="Imagen 7" descr="https://static.xx.fbcdn.net/rsrc.php/v4/yT/r/Dc7-7AgwkwS.png?_nc_eui2=AeFgIIQQTozRYm3CwdvJKlaMBUApXaCIKdsFQCldoIgp2_OVLrQRZwfzqamFD35dtN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00900" y="8896350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50</xdr:row>
      <xdr:rowOff>0</xdr:rowOff>
    </xdr:from>
    <xdr:to>
      <xdr:col>9</xdr:col>
      <xdr:colOff>190500</xdr:colOff>
      <xdr:row>50</xdr:row>
      <xdr:rowOff>190500</xdr:rowOff>
    </xdr:to>
    <xdr:pic>
      <xdr:nvPicPr>
        <xdr:cNvPr id="9" name="Imagen 8" descr="https://static.xx.fbcdn.net/rsrc.php/v4/yW/r/8k_Y-oVxbuU.png?_nc_eui2=AeFq2lQ0haoD6zgE9clKYDlDyJyiFxpnFbPInKIXGmcVs3LD27mD3ucFm4-UyMgvV8I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47000" y="10001250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9</xdr:col>
      <xdr:colOff>190500</xdr:colOff>
      <xdr:row>52</xdr:row>
      <xdr:rowOff>190500</xdr:rowOff>
    </xdr:to>
    <xdr:pic>
      <xdr:nvPicPr>
        <xdr:cNvPr id="10" name="Imagen 9" descr="https://static.xx.fbcdn.net/rsrc.php/v4/yT/r/Dc7-7AgwkwS.png?_nc_eui2=AeFgIIQQTozRYm3CwdvJKlaMBUApXaCIKdsFQCldoIgp2_OVLrQRZwfzqamFD35dtN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47000" y="10452100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54</xdr:row>
      <xdr:rowOff>0</xdr:rowOff>
    </xdr:from>
    <xdr:to>
      <xdr:col>9</xdr:col>
      <xdr:colOff>190500</xdr:colOff>
      <xdr:row>54</xdr:row>
      <xdr:rowOff>190500</xdr:rowOff>
    </xdr:to>
    <xdr:pic>
      <xdr:nvPicPr>
        <xdr:cNvPr id="11" name="Imagen 10" descr="https://static.xx.fbcdn.net/rsrc.php/v4/y7/r/4Lea07Woawi.png?_nc_eui2=AeHq5A-ZWeDTSnUcskWPH9ljpWmNcNvqCWmlaY1w2-oJadwq7z2v_-3GLjiUyqkdI0w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47000" y="10820400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6</xdr:row>
      <xdr:rowOff>0</xdr:rowOff>
    </xdr:from>
    <xdr:to>
      <xdr:col>6</xdr:col>
      <xdr:colOff>476250</xdr:colOff>
      <xdr:row>7</xdr:row>
      <xdr:rowOff>349250</xdr:rowOff>
    </xdr:to>
    <xdr:pic>
      <xdr:nvPicPr>
        <xdr:cNvPr id="2" name="logoaei" descr="Asociación de Agentes y Empresas Inmobiliarias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187450"/>
          <a:ext cx="2000250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609600</xdr:colOff>
      <xdr:row>15</xdr:row>
      <xdr:rowOff>57150</xdr:rowOff>
    </xdr:to>
    <xdr:pic>
      <xdr:nvPicPr>
        <xdr:cNvPr id="3" name="Imagen 2" descr="https://aei.com.do/images/ayuda-icon.pn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213100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20</xdr:row>
          <xdr:rowOff>0</xdr:rowOff>
        </xdr:from>
        <xdr:to>
          <xdr:col>5</xdr:col>
          <xdr:colOff>152400</xdr:colOff>
          <xdr:row>21</xdr:row>
          <xdr:rowOff>44450</xdr:rowOff>
        </xdr:to>
        <xdr:sp macro="" textlink="">
          <xdr:nvSpPr>
            <xdr:cNvPr id="23555" name="Control 3" hidden="1">
              <a:extLst>
                <a:ext uri="{63B3BB69-23CF-44E3-9099-C40C66FF867C}">
                  <a14:compatExt spid="_x0000_s235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4</xdr:col>
      <xdr:colOff>0</xdr:colOff>
      <xdr:row>22</xdr:row>
      <xdr:rowOff>0</xdr:rowOff>
    </xdr:from>
    <xdr:to>
      <xdr:col>7</xdr:col>
      <xdr:colOff>285750</xdr:colOff>
      <xdr:row>24</xdr:row>
      <xdr:rowOff>2590800</xdr:rowOff>
    </xdr:to>
    <xdr:pic>
      <xdr:nvPicPr>
        <xdr:cNvPr id="5" name="Imagen 4" descr="Gustavo Natera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905500"/>
          <a:ext cx="2571750" cy="3143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31</xdr:row>
      <xdr:rowOff>0</xdr:rowOff>
    </xdr:from>
    <xdr:to>
      <xdr:col>7</xdr:col>
      <xdr:colOff>285750</xdr:colOff>
      <xdr:row>33</xdr:row>
      <xdr:rowOff>2406650</xdr:rowOff>
    </xdr:to>
    <xdr:pic>
      <xdr:nvPicPr>
        <xdr:cNvPr id="6" name="Imagen 5" descr="Melissa Alliata-Bronner">
          <a:hlinkClick xmlns:r="http://schemas.openxmlformats.org/officeDocument/2006/relationships" r:id="rId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973300"/>
          <a:ext cx="2571750" cy="3143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40</xdr:row>
      <xdr:rowOff>0</xdr:rowOff>
    </xdr:from>
    <xdr:to>
      <xdr:col>7</xdr:col>
      <xdr:colOff>285750</xdr:colOff>
      <xdr:row>42</xdr:row>
      <xdr:rowOff>2590800</xdr:rowOff>
    </xdr:to>
    <xdr:pic>
      <xdr:nvPicPr>
        <xdr:cNvPr id="7" name="Imagen 6" descr="Elizabeth Arzeno">
          <a:hlinkClick xmlns:r="http://schemas.openxmlformats.org/officeDocument/2006/relationships" r:id="rId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4225250"/>
          <a:ext cx="2571750" cy="3143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7</xdr:col>
      <xdr:colOff>285750</xdr:colOff>
      <xdr:row>51</xdr:row>
      <xdr:rowOff>2590800</xdr:rowOff>
    </xdr:to>
    <xdr:pic>
      <xdr:nvPicPr>
        <xdr:cNvPr id="8" name="Imagen 7" descr="Juan Pilips Michell">
          <a:hlinkClick xmlns:r="http://schemas.openxmlformats.org/officeDocument/2006/relationships" r:id="rId1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1407100"/>
          <a:ext cx="2571750" cy="3143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7</xdr:col>
      <xdr:colOff>285750</xdr:colOff>
      <xdr:row>60</xdr:row>
      <xdr:rowOff>2222500</xdr:rowOff>
    </xdr:to>
    <xdr:pic>
      <xdr:nvPicPr>
        <xdr:cNvPr id="9" name="Imagen 8" descr="Hamlet Reynoso Vanderhorst">
          <a:hlinkClick xmlns:r="http://schemas.openxmlformats.org/officeDocument/2006/relationships" r:id="rId1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0474900"/>
          <a:ext cx="2571750" cy="3143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67</xdr:row>
      <xdr:rowOff>0</xdr:rowOff>
    </xdr:from>
    <xdr:to>
      <xdr:col>7</xdr:col>
      <xdr:colOff>285750</xdr:colOff>
      <xdr:row>69</xdr:row>
      <xdr:rowOff>2590800</xdr:rowOff>
    </xdr:to>
    <xdr:pic>
      <xdr:nvPicPr>
        <xdr:cNvPr id="10" name="Imagen 9" descr="Amelie Flambert">
          <a:hlinkClick xmlns:r="http://schemas.openxmlformats.org/officeDocument/2006/relationships" r:id="rId1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9911000"/>
          <a:ext cx="2571750" cy="3143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76</xdr:row>
      <xdr:rowOff>0</xdr:rowOff>
    </xdr:from>
    <xdr:to>
      <xdr:col>7</xdr:col>
      <xdr:colOff>285750</xdr:colOff>
      <xdr:row>78</xdr:row>
      <xdr:rowOff>2406650</xdr:rowOff>
    </xdr:to>
    <xdr:pic>
      <xdr:nvPicPr>
        <xdr:cNvPr id="11" name="Imagen 10" descr="Luis Polanco Sangiovanni">
          <a:hlinkClick xmlns:r="http://schemas.openxmlformats.org/officeDocument/2006/relationships" r:id="rId1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6540400"/>
          <a:ext cx="2571750" cy="3143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85</xdr:row>
      <xdr:rowOff>0</xdr:rowOff>
    </xdr:from>
    <xdr:to>
      <xdr:col>7</xdr:col>
      <xdr:colOff>285750</xdr:colOff>
      <xdr:row>87</xdr:row>
      <xdr:rowOff>2590800</xdr:rowOff>
    </xdr:to>
    <xdr:pic>
      <xdr:nvPicPr>
        <xdr:cNvPr id="12" name="Imagen 11" descr="Joshua Rosenthal">
          <a:hlinkClick xmlns:r="http://schemas.openxmlformats.org/officeDocument/2006/relationships" r:id="rId1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65792350"/>
          <a:ext cx="2571750" cy="3143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94</xdr:row>
      <xdr:rowOff>0</xdr:rowOff>
    </xdr:from>
    <xdr:to>
      <xdr:col>7</xdr:col>
      <xdr:colOff>285750</xdr:colOff>
      <xdr:row>96</xdr:row>
      <xdr:rowOff>2590800</xdr:rowOff>
    </xdr:to>
    <xdr:pic>
      <xdr:nvPicPr>
        <xdr:cNvPr id="13" name="Imagen 12" descr="Fior D'aliza Ubiera">
          <a:hlinkClick xmlns:r="http://schemas.openxmlformats.org/officeDocument/2006/relationships" r:id="rId2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74860150"/>
          <a:ext cx="2571750" cy="3143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103</xdr:row>
      <xdr:rowOff>0</xdr:rowOff>
    </xdr:from>
    <xdr:to>
      <xdr:col>7</xdr:col>
      <xdr:colOff>285750</xdr:colOff>
      <xdr:row>105</xdr:row>
      <xdr:rowOff>2406650</xdr:rowOff>
    </xdr:to>
    <xdr:pic>
      <xdr:nvPicPr>
        <xdr:cNvPr id="14" name="Imagen 13" descr="Carla Martinez Pozo">
          <a:hlinkClick xmlns:r="http://schemas.openxmlformats.org/officeDocument/2006/relationships" r:id="rId2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3927950"/>
          <a:ext cx="2571750" cy="3143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7</xdr:col>
      <xdr:colOff>285750</xdr:colOff>
      <xdr:row>114</xdr:row>
      <xdr:rowOff>2406650</xdr:rowOff>
    </xdr:to>
    <xdr:pic>
      <xdr:nvPicPr>
        <xdr:cNvPr id="15" name="Imagen 14" descr="Rafael Tomas Sosa Miolan">
          <a:hlinkClick xmlns:r="http://schemas.openxmlformats.org/officeDocument/2006/relationships" r:id="rId2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93179900"/>
          <a:ext cx="2571750" cy="3143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121</xdr:row>
      <xdr:rowOff>0</xdr:rowOff>
    </xdr:from>
    <xdr:to>
      <xdr:col>7</xdr:col>
      <xdr:colOff>285750</xdr:colOff>
      <xdr:row>123</xdr:row>
      <xdr:rowOff>2406650</xdr:rowOff>
    </xdr:to>
    <xdr:pic>
      <xdr:nvPicPr>
        <xdr:cNvPr id="16" name="Imagen 15" descr="Harolin Castillo Francisco">
          <a:hlinkClick xmlns:r="http://schemas.openxmlformats.org/officeDocument/2006/relationships" r:id="rId2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00545900"/>
          <a:ext cx="2571750" cy="3143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130</xdr:row>
      <xdr:rowOff>0</xdr:rowOff>
    </xdr:from>
    <xdr:to>
      <xdr:col>7</xdr:col>
      <xdr:colOff>285750</xdr:colOff>
      <xdr:row>132</xdr:row>
      <xdr:rowOff>2590800</xdr:rowOff>
    </xdr:to>
    <xdr:pic>
      <xdr:nvPicPr>
        <xdr:cNvPr id="17" name="Imagen 16" descr="Yana Puchinkina">
          <a:hlinkClick xmlns:r="http://schemas.openxmlformats.org/officeDocument/2006/relationships" r:id="rId2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07911900"/>
          <a:ext cx="2571750" cy="3143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139</xdr:row>
      <xdr:rowOff>0</xdr:rowOff>
    </xdr:from>
    <xdr:to>
      <xdr:col>7</xdr:col>
      <xdr:colOff>285750</xdr:colOff>
      <xdr:row>141</xdr:row>
      <xdr:rowOff>2406650</xdr:rowOff>
    </xdr:to>
    <xdr:pic>
      <xdr:nvPicPr>
        <xdr:cNvPr id="18" name="Imagen 17" descr="Jheysell Rodriguez Ruiz">
          <a:hlinkClick xmlns:r="http://schemas.openxmlformats.org/officeDocument/2006/relationships" r:id="rId3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16979700"/>
          <a:ext cx="2571750" cy="3143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148</xdr:row>
      <xdr:rowOff>0</xdr:rowOff>
    </xdr:from>
    <xdr:to>
      <xdr:col>7</xdr:col>
      <xdr:colOff>285750</xdr:colOff>
      <xdr:row>150</xdr:row>
      <xdr:rowOff>2406650</xdr:rowOff>
    </xdr:to>
    <xdr:pic>
      <xdr:nvPicPr>
        <xdr:cNvPr id="19" name="Imagen 18" descr="Wanda Morel Restituyo">
          <a:hlinkClick xmlns:r="http://schemas.openxmlformats.org/officeDocument/2006/relationships" r:id="rId3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6231650"/>
          <a:ext cx="2571750" cy="3143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157</xdr:row>
      <xdr:rowOff>0</xdr:rowOff>
    </xdr:from>
    <xdr:to>
      <xdr:col>7</xdr:col>
      <xdr:colOff>285750</xdr:colOff>
      <xdr:row>159</xdr:row>
      <xdr:rowOff>2305050</xdr:rowOff>
    </xdr:to>
    <xdr:pic>
      <xdr:nvPicPr>
        <xdr:cNvPr id="20" name="Imagen 19" descr="Ruth De Jesus">
          <a:hlinkClick xmlns:r="http://schemas.openxmlformats.org/officeDocument/2006/relationships" r:id="rId3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34518400"/>
          <a:ext cx="2571750" cy="285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166</xdr:row>
      <xdr:rowOff>0</xdr:rowOff>
    </xdr:from>
    <xdr:to>
      <xdr:col>7</xdr:col>
      <xdr:colOff>285750</xdr:colOff>
      <xdr:row>168</xdr:row>
      <xdr:rowOff>2120900</xdr:rowOff>
    </xdr:to>
    <xdr:pic>
      <xdr:nvPicPr>
        <xdr:cNvPr id="21" name="Imagen 20" descr="Jeancarlos Colon Tejada">
          <a:hlinkClick xmlns:r="http://schemas.openxmlformats.org/officeDocument/2006/relationships" r:id="rId3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3586200"/>
          <a:ext cx="2571750" cy="285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175</xdr:row>
      <xdr:rowOff>0</xdr:rowOff>
    </xdr:from>
    <xdr:to>
      <xdr:col>7</xdr:col>
      <xdr:colOff>285750</xdr:colOff>
      <xdr:row>177</xdr:row>
      <xdr:rowOff>2120900</xdr:rowOff>
    </xdr:to>
    <xdr:pic>
      <xdr:nvPicPr>
        <xdr:cNvPr id="22" name="Imagen 21" descr="Flor Elizabeth Martinez">
          <a:hlinkClick xmlns:r="http://schemas.openxmlformats.org/officeDocument/2006/relationships" r:id="rId3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52838150"/>
          <a:ext cx="2571750" cy="285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184</xdr:row>
      <xdr:rowOff>0</xdr:rowOff>
    </xdr:from>
    <xdr:to>
      <xdr:col>7</xdr:col>
      <xdr:colOff>285750</xdr:colOff>
      <xdr:row>186</xdr:row>
      <xdr:rowOff>2120900</xdr:rowOff>
    </xdr:to>
    <xdr:pic>
      <xdr:nvPicPr>
        <xdr:cNvPr id="23" name="Imagen 22" descr="Elizabeth Mendez Madera">
          <a:hlinkClick xmlns:r="http://schemas.openxmlformats.org/officeDocument/2006/relationships" r:id="rId4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090100"/>
          <a:ext cx="2571750" cy="285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193</xdr:row>
      <xdr:rowOff>0</xdr:rowOff>
    </xdr:from>
    <xdr:to>
      <xdr:col>7</xdr:col>
      <xdr:colOff>285750</xdr:colOff>
      <xdr:row>195</xdr:row>
      <xdr:rowOff>2406650</xdr:rowOff>
    </xdr:to>
    <xdr:pic>
      <xdr:nvPicPr>
        <xdr:cNvPr id="24" name="Imagen 23" descr="Luz Maria Madera Benedicto">
          <a:hlinkClick xmlns:r="http://schemas.openxmlformats.org/officeDocument/2006/relationships" r:id="rId4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71342050"/>
          <a:ext cx="2571750" cy="3143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202</xdr:row>
      <xdr:rowOff>0</xdr:rowOff>
    </xdr:from>
    <xdr:to>
      <xdr:col>7</xdr:col>
      <xdr:colOff>285750</xdr:colOff>
      <xdr:row>204</xdr:row>
      <xdr:rowOff>2120900</xdr:rowOff>
    </xdr:to>
    <xdr:pic>
      <xdr:nvPicPr>
        <xdr:cNvPr id="25" name="Imagen 24" descr="Ehimer Antomar Cruz">
          <a:hlinkClick xmlns:r="http://schemas.openxmlformats.org/officeDocument/2006/relationships" r:id="rId4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79076350"/>
          <a:ext cx="2571750" cy="285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211</xdr:row>
      <xdr:rowOff>0</xdr:rowOff>
    </xdr:from>
    <xdr:to>
      <xdr:col>7</xdr:col>
      <xdr:colOff>285750</xdr:colOff>
      <xdr:row>213</xdr:row>
      <xdr:rowOff>2222500</xdr:rowOff>
    </xdr:to>
    <xdr:pic>
      <xdr:nvPicPr>
        <xdr:cNvPr id="26" name="Imagen 25" descr="Yadelka Mercedes Garcia Rodriguez">
          <a:hlinkClick xmlns:r="http://schemas.openxmlformats.org/officeDocument/2006/relationships" r:id="rId4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6810650"/>
          <a:ext cx="2571750" cy="3143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220</xdr:row>
      <xdr:rowOff>0</xdr:rowOff>
    </xdr:from>
    <xdr:to>
      <xdr:col>7</xdr:col>
      <xdr:colOff>285750</xdr:colOff>
      <xdr:row>225</xdr:row>
      <xdr:rowOff>95250</xdr:rowOff>
    </xdr:to>
    <xdr:pic>
      <xdr:nvPicPr>
        <xdr:cNvPr id="27" name="Imagen 26" descr="Elpidio Baute">
          <a:hlinkClick xmlns:r="http://schemas.openxmlformats.org/officeDocument/2006/relationships" r:id="rId4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4729100"/>
          <a:ext cx="2571750" cy="285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229</xdr:row>
      <xdr:rowOff>0</xdr:rowOff>
    </xdr:from>
    <xdr:to>
      <xdr:col>7</xdr:col>
      <xdr:colOff>285750</xdr:colOff>
      <xdr:row>231</xdr:row>
      <xdr:rowOff>2406650</xdr:rowOff>
    </xdr:to>
    <xdr:pic>
      <xdr:nvPicPr>
        <xdr:cNvPr id="28" name="Imagen 27" descr="Raul Almonte Castillo">
          <a:hlinkClick xmlns:r="http://schemas.openxmlformats.org/officeDocument/2006/relationships" r:id="rId5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00437750"/>
          <a:ext cx="2571750" cy="3143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238</xdr:row>
      <xdr:rowOff>0</xdr:rowOff>
    </xdr:from>
    <xdr:to>
      <xdr:col>7</xdr:col>
      <xdr:colOff>285750</xdr:colOff>
      <xdr:row>240</xdr:row>
      <xdr:rowOff>2406650</xdr:rowOff>
    </xdr:to>
    <xdr:pic>
      <xdr:nvPicPr>
        <xdr:cNvPr id="29" name="Imagen 28" descr="Miriam Zorrilla Abreu">
          <a:hlinkClick xmlns:r="http://schemas.openxmlformats.org/officeDocument/2006/relationships" r:id="rId5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09689700"/>
          <a:ext cx="2571750" cy="3143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247</xdr:row>
      <xdr:rowOff>0</xdr:rowOff>
    </xdr:from>
    <xdr:to>
      <xdr:col>7</xdr:col>
      <xdr:colOff>285750</xdr:colOff>
      <xdr:row>249</xdr:row>
      <xdr:rowOff>2406650</xdr:rowOff>
    </xdr:to>
    <xdr:pic>
      <xdr:nvPicPr>
        <xdr:cNvPr id="30" name="Imagen 29" descr="Melina Jimenez Mejia">
          <a:hlinkClick xmlns:r="http://schemas.openxmlformats.org/officeDocument/2006/relationships" r:id="rId5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18941650"/>
          <a:ext cx="2571750" cy="3143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256</xdr:row>
      <xdr:rowOff>0</xdr:rowOff>
    </xdr:from>
    <xdr:to>
      <xdr:col>7</xdr:col>
      <xdr:colOff>285750</xdr:colOff>
      <xdr:row>258</xdr:row>
      <xdr:rowOff>2406650</xdr:rowOff>
    </xdr:to>
    <xdr:pic>
      <xdr:nvPicPr>
        <xdr:cNvPr id="31" name="Imagen 30" descr="Katherine Santos Hernandez">
          <a:hlinkClick xmlns:r="http://schemas.openxmlformats.org/officeDocument/2006/relationships" r:id="rId5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28193600"/>
          <a:ext cx="2571750" cy="3143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265</xdr:row>
      <xdr:rowOff>0</xdr:rowOff>
    </xdr:from>
    <xdr:to>
      <xdr:col>7</xdr:col>
      <xdr:colOff>285750</xdr:colOff>
      <xdr:row>267</xdr:row>
      <xdr:rowOff>2406650</xdr:rowOff>
    </xdr:to>
    <xdr:pic>
      <xdr:nvPicPr>
        <xdr:cNvPr id="32" name="Imagen 31" descr="Jose Ventura Santos">
          <a:hlinkClick xmlns:r="http://schemas.openxmlformats.org/officeDocument/2006/relationships" r:id="rId5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7445550"/>
          <a:ext cx="2571750" cy="3143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274</xdr:row>
      <xdr:rowOff>0</xdr:rowOff>
    </xdr:from>
    <xdr:to>
      <xdr:col>7</xdr:col>
      <xdr:colOff>285750</xdr:colOff>
      <xdr:row>276</xdr:row>
      <xdr:rowOff>2590800</xdr:rowOff>
    </xdr:to>
    <xdr:pic>
      <xdr:nvPicPr>
        <xdr:cNvPr id="33" name="Imagen 32" descr="Iralmy Ortiz Polonio">
          <a:hlinkClick xmlns:r="http://schemas.openxmlformats.org/officeDocument/2006/relationships" r:id="rId6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46697500"/>
          <a:ext cx="2571750" cy="3143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283</xdr:row>
      <xdr:rowOff>0</xdr:rowOff>
    </xdr:from>
    <xdr:to>
      <xdr:col>7</xdr:col>
      <xdr:colOff>285750</xdr:colOff>
      <xdr:row>285</xdr:row>
      <xdr:rowOff>2406650</xdr:rowOff>
    </xdr:to>
    <xdr:pic>
      <xdr:nvPicPr>
        <xdr:cNvPr id="34" name="Imagen 33" descr="Cristina Martinez Fransua">
          <a:hlinkClick xmlns:r="http://schemas.openxmlformats.org/officeDocument/2006/relationships" r:id="rId6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5765300"/>
          <a:ext cx="2571750" cy="3143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292</xdr:row>
      <xdr:rowOff>0</xdr:rowOff>
    </xdr:from>
    <xdr:to>
      <xdr:col>7</xdr:col>
      <xdr:colOff>285750</xdr:colOff>
      <xdr:row>294</xdr:row>
      <xdr:rowOff>2590800</xdr:rowOff>
    </xdr:to>
    <xdr:pic>
      <xdr:nvPicPr>
        <xdr:cNvPr id="35" name="Imagen 34" descr="Angela Santana">
          <a:hlinkClick xmlns:r="http://schemas.openxmlformats.org/officeDocument/2006/relationships" r:id="rId6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5017250"/>
          <a:ext cx="2571750" cy="3143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301</xdr:row>
      <xdr:rowOff>0</xdr:rowOff>
    </xdr:from>
    <xdr:to>
      <xdr:col>7</xdr:col>
      <xdr:colOff>285750</xdr:colOff>
      <xdr:row>303</xdr:row>
      <xdr:rowOff>2590800</xdr:rowOff>
    </xdr:to>
    <xdr:pic>
      <xdr:nvPicPr>
        <xdr:cNvPr id="36" name="Imagen 35" descr="Pamela De La Rosa">
          <a:hlinkClick xmlns:r="http://schemas.openxmlformats.org/officeDocument/2006/relationships" r:id="rId6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74085050"/>
          <a:ext cx="2571750" cy="3143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310</xdr:row>
      <xdr:rowOff>0</xdr:rowOff>
    </xdr:from>
    <xdr:to>
      <xdr:col>7</xdr:col>
      <xdr:colOff>285750</xdr:colOff>
      <xdr:row>312</xdr:row>
      <xdr:rowOff>2406650</xdr:rowOff>
    </xdr:to>
    <xdr:pic>
      <xdr:nvPicPr>
        <xdr:cNvPr id="37" name="Imagen 36" descr="Heidy Gomez Castellanos">
          <a:hlinkClick xmlns:r="http://schemas.openxmlformats.org/officeDocument/2006/relationships" r:id="rId6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1819350"/>
          <a:ext cx="2571750" cy="3143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319</xdr:row>
      <xdr:rowOff>0</xdr:rowOff>
    </xdr:from>
    <xdr:to>
      <xdr:col>7</xdr:col>
      <xdr:colOff>285750</xdr:colOff>
      <xdr:row>321</xdr:row>
      <xdr:rowOff>2590800</xdr:rowOff>
    </xdr:to>
    <xdr:pic>
      <xdr:nvPicPr>
        <xdr:cNvPr id="38" name="Imagen 37" descr="Yenis Perez Rodriguez">
          <a:hlinkClick xmlns:r="http://schemas.openxmlformats.org/officeDocument/2006/relationships" r:id="rId7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9737800"/>
          <a:ext cx="2571750" cy="3143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328</xdr:row>
      <xdr:rowOff>0</xdr:rowOff>
    </xdr:from>
    <xdr:to>
      <xdr:col>7</xdr:col>
      <xdr:colOff>285750</xdr:colOff>
      <xdr:row>330</xdr:row>
      <xdr:rowOff>2590800</xdr:rowOff>
    </xdr:to>
    <xdr:pic>
      <xdr:nvPicPr>
        <xdr:cNvPr id="39" name="Imagen 38" descr="Ana Ureña Payano">
          <a:hlinkClick xmlns:r="http://schemas.openxmlformats.org/officeDocument/2006/relationships" r:id="rId7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97472100"/>
          <a:ext cx="2571750" cy="3143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337</xdr:row>
      <xdr:rowOff>0</xdr:rowOff>
    </xdr:from>
    <xdr:to>
      <xdr:col>7</xdr:col>
      <xdr:colOff>285750</xdr:colOff>
      <xdr:row>339</xdr:row>
      <xdr:rowOff>2406650</xdr:rowOff>
    </xdr:to>
    <xdr:pic>
      <xdr:nvPicPr>
        <xdr:cNvPr id="40" name="Imagen 39" descr="Rafael Mercedes Montilla">
          <a:hlinkClick xmlns:r="http://schemas.openxmlformats.org/officeDocument/2006/relationships" r:id="rId7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206400"/>
          <a:ext cx="2571750" cy="3143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354</xdr:row>
      <xdr:rowOff>0</xdr:rowOff>
    </xdr:from>
    <xdr:to>
      <xdr:col>7</xdr:col>
      <xdr:colOff>190500</xdr:colOff>
      <xdr:row>385</xdr:row>
      <xdr:rowOff>6350</xdr:rowOff>
    </xdr:to>
    <xdr:pic>
      <xdr:nvPicPr>
        <xdr:cNvPr id="41" name="Imagen 40" descr="https://aei.com.do/images/home/banners/bannerAEI.png">
          <a:hlinkClick xmlns:r="http://schemas.openxmlformats.org/officeDocument/2006/relationships" r:id="rId77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17284100"/>
          <a:ext cx="2476500" cy="5715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www.facebook.com/profile.php?id=100070284408285&amp;sk=reviews" TargetMode="External"/><Relationship Id="rId1" Type="http://schemas.openxmlformats.org/officeDocument/2006/relationships/hyperlink" Target="https://l.facebook.com/l.php?u=https%3A%2F%2Fwww.instagram.com%2Fraicesdelyuna%3Ffbclid%3DIwZXh0bgNhZW0CMTAAAR3Wc0uvj9wJ-g49dOWM1XlpV8WWNbJi2uAnpExUKllvh3Y94vqD7-gfcSE_aem_uzIufP6BZ5Zw9qObpFJTyQ&amp;h=AT28pi_U0lv4Zxu0ClnUb_QlW9d3D9bXAYa6Uw7dMVazLRPds-s10Y-wXVHaUpuPcfK-tfLzWD0cx8qbL32zz62kkKR0XiXZ2qE4dgPbc4vohaVH4uzLOx_0XF8v91tBDg" TargetMode="External"/></Relationships>
</file>

<file path=xl/worksheets/_rels/sheet22.xml.rels><?xml version="1.0" encoding="UTF-8" standalone="yes"?>
<Relationships xmlns="http://schemas.openxmlformats.org/package/2006/relationships"><Relationship Id="rId26" Type="http://schemas.openxmlformats.org/officeDocument/2006/relationships/hyperlink" Target="https://aei.com.do/cbr/4799" TargetMode="External"/><Relationship Id="rId117" Type="http://schemas.openxmlformats.org/officeDocument/2006/relationships/hyperlink" Target="https://aei.com.do/directorio/agentes?p=2" TargetMode="External"/><Relationship Id="rId21" Type="http://schemas.openxmlformats.org/officeDocument/2006/relationships/hyperlink" Target="https://aei.com.do/cbr/4801" TargetMode="External"/><Relationship Id="rId42" Type="http://schemas.openxmlformats.org/officeDocument/2006/relationships/hyperlink" Target="https://aei.com.do/cbr/4794" TargetMode="External"/><Relationship Id="rId47" Type="http://schemas.openxmlformats.org/officeDocument/2006/relationships/hyperlink" Target="https://aei.com.do/cbr/4792" TargetMode="External"/><Relationship Id="rId63" Type="http://schemas.openxmlformats.org/officeDocument/2006/relationships/hyperlink" Target="https://aei.com.do/cbr/4787" TargetMode="External"/><Relationship Id="rId68" Type="http://schemas.openxmlformats.org/officeDocument/2006/relationships/hyperlink" Target="https://aei.com.do/cbr/4785" TargetMode="External"/><Relationship Id="rId84" Type="http://schemas.openxmlformats.org/officeDocument/2006/relationships/hyperlink" Target="https://aei.com.do/cbr/4780" TargetMode="External"/><Relationship Id="rId89" Type="http://schemas.openxmlformats.org/officeDocument/2006/relationships/hyperlink" Target="https://aei.com.do/cbr/4778" TargetMode="External"/><Relationship Id="rId112" Type="http://schemas.openxmlformats.org/officeDocument/2006/relationships/hyperlink" Target="https://aei.com.do/cbr/4771" TargetMode="External"/><Relationship Id="rId16" Type="http://schemas.openxmlformats.org/officeDocument/2006/relationships/hyperlink" Target="https://aei.com.do/cbr/4803" TargetMode="External"/><Relationship Id="rId107" Type="http://schemas.openxmlformats.org/officeDocument/2006/relationships/hyperlink" Target="https://aei.com.do/cbr/4772" TargetMode="External"/><Relationship Id="rId11" Type="http://schemas.openxmlformats.org/officeDocument/2006/relationships/hyperlink" Target="https://aei.com.do/cbr/4804" TargetMode="External"/><Relationship Id="rId32" Type="http://schemas.openxmlformats.org/officeDocument/2006/relationships/hyperlink" Target="https://aei.com.do/cbr/4797" TargetMode="External"/><Relationship Id="rId37" Type="http://schemas.openxmlformats.org/officeDocument/2006/relationships/hyperlink" Target="https://aei.com.do/cbr/4796" TargetMode="External"/><Relationship Id="rId53" Type="http://schemas.openxmlformats.org/officeDocument/2006/relationships/hyperlink" Target="https://aei.com.do/cbr/4790" TargetMode="External"/><Relationship Id="rId58" Type="http://schemas.openxmlformats.org/officeDocument/2006/relationships/hyperlink" Target="https://aei.com.do/cbr/4789" TargetMode="External"/><Relationship Id="rId74" Type="http://schemas.openxmlformats.org/officeDocument/2006/relationships/hyperlink" Target="https://aei.com.do/cbr/4783" TargetMode="External"/><Relationship Id="rId79" Type="http://schemas.openxmlformats.org/officeDocument/2006/relationships/hyperlink" Target="https://aei.com.do/cbr/4782" TargetMode="External"/><Relationship Id="rId102" Type="http://schemas.openxmlformats.org/officeDocument/2006/relationships/hyperlink" Target="https://aei.com.do/cbr/4774" TargetMode="External"/><Relationship Id="rId123" Type="http://schemas.openxmlformats.org/officeDocument/2006/relationships/hyperlink" Target="https://aei.com.do/directorio/agentes" TargetMode="External"/><Relationship Id="rId5" Type="http://schemas.openxmlformats.org/officeDocument/2006/relationships/hyperlink" Target="https://aei.com.do/ayuda/contactenos" TargetMode="External"/><Relationship Id="rId90" Type="http://schemas.openxmlformats.org/officeDocument/2006/relationships/hyperlink" Target="https://aei.com.do/cbr/4778" TargetMode="External"/><Relationship Id="rId95" Type="http://schemas.openxmlformats.org/officeDocument/2006/relationships/hyperlink" Target="https://aei.com.do/cbr/4776" TargetMode="External"/><Relationship Id="rId22" Type="http://schemas.openxmlformats.org/officeDocument/2006/relationships/hyperlink" Target="https://aei.com.do/cbr/4801" TargetMode="External"/><Relationship Id="rId27" Type="http://schemas.openxmlformats.org/officeDocument/2006/relationships/hyperlink" Target="https://aei.com.do/cbr/4799" TargetMode="External"/><Relationship Id="rId43" Type="http://schemas.openxmlformats.org/officeDocument/2006/relationships/hyperlink" Target="https://aei.com.do/cbr/4794" TargetMode="External"/><Relationship Id="rId48" Type="http://schemas.openxmlformats.org/officeDocument/2006/relationships/hyperlink" Target="https://aei.com.do/cbr/4792" TargetMode="External"/><Relationship Id="rId64" Type="http://schemas.openxmlformats.org/officeDocument/2006/relationships/hyperlink" Target="https://aei.com.do/cbr/4787" TargetMode="External"/><Relationship Id="rId69" Type="http://schemas.openxmlformats.org/officeDocument/2006/relationships/hyperlink" Target="https://aei.com.do/cbr/4785" TargetMode="External"/><Relationship Id="rId113" Type="http://schemas.openxmlformats.org/officeDocument/2006/relationships/hyperlink" Target="https://aei.com.do/cbr/4770" TargetMode="External"/><Relationship Id="rId118" Type="http://schemas.openxmlformats.org/officeDocument/2006/relationships/hyperlink" Target="https://aei.com.do/directorio/agentes?p=34" TargetMode="External"/><Relationship Id="rId80" Type="http://schemas.openxmlformats.org/officeDocument/2006/relationships/hyperlink" Target="https://aei.com.do/cbr/4781" TargetMode="External"/><Relationship Id="rId85" Type="http://schemas.openxmlformats.org/officeDocument/2006/relationships/hyperlink" Target="https://aei.com.do/cbr/4780" TargetMode="External"/><Relationship Id="rId12" Type="http://schemas.openxmlformats.org/officeDocument/2006/relationships/hyperlink" Target="https://aei.com.do/cbr/4804" TargetMode="External"/><Relationship Id="rId17" Type="http://schemas.openxmlformats.org/officeDocument/2006/relationships/hyperlink" Target="https://aei.com.do/cbr/4802" TargetMode="External"/><Relationship Id="rId33" Type="http://schemas.openxmlformats.org/officeDocument/2006/relationships/hyperlink" Target="https://aei.com.do/cbr/4797" TargetMode="External"/><Relationship Id="rId38" Type="http://schemas.openxmlformats.org/officeDocument/2006/relationships/hyperlink" Target="https://aei.com.do/cbr/4795" TargetMode="External"/><Relationship Id="rId59" Type="http://schemas.openxmlformats.org/officeDocument/2006/relationships/hyperlink" Target="https://aei.com.do/cbr/4788" TargetMode="External"/><Relationship Id="rId103" Type="http://schemas.openxmlformats.org/officeDocument/2006/relationships/hyperlink" Target="https://aei.com.do/cbr/4774" TargetMode="External"/><Relationship Id="rId108" Type="http://schemas.openxmlformats.org/officeDocument/2006/relationships/hyperlink" Target="https://aei.com.do/cbr/4772" TargetMode="External"/><Relationship Id="rId124" Type="http://schemas.openxmlformats.org/officeDocument/2006/relationships/drawing" Target="../drawings/drawing2.xml"/><Relationship Id="rId54" Type="http://schemas.openxmlformats.org/officeDocument/2006/relationships/hyperlink" Target="https://aei.com.do/cbr/4790" TargetMode="External"/><Relationship Id="rId70" Type="http://schemas.openxmlformats.org/officeDocument/2006/relationships/hyperlink" Target="https://aei.com.do/cbr/4785" TargetMode="External"/><Relationship Id="rId75" Type="http://schemas.openxmlformats.org/officeDocument/2006/relationships/hyperlink" Target="https://aei.com.do/cbr/4783" TargetMode="External"/><Relationship Id="rId91" Type="http://schemas.openxmlformats.org/officeDocument/2006/relationships/hyperlink" Target="https://aei.com.do/cbr/4778" TargetMode="External"/><Relationship Id="rId96" Type="http://schemas.openxmlformats.org/officeDocument/2006/relationships/hyperlink" Target="https://aei.com.do/cbr/4776" TargetMode="External"/><Relationship Id="rId1" Type="http://schemas.openxmlformats.org/officeDocument/2006/relationships/hyperlink" Target="https://aei.com.do/directorio/agentes" TargetMode="External"/><Relationship Id="rId6" Type="http://schemas.openxmlformats.org/officeDocument/2006/relationships/hyperlink" Target="https://aei.com.do/usuario/login" TargetMode="External"/><Relationship Id="rId23" Type="http://schemas.openxmlformats.org/officeDocument/2006/relationships/hyperlink" Target="https://aei.com.do/cbr/4800" TargetMode="External"/><Relationship Id="rId28" Type="http://schemas.openxmlformats.org/officeDocument/2006/relationships/hyperlink" Target="https://aei.com.do/cbr/4799" TargetMode="External"/><Relationship Id="rId49" Type="http://schemas.openxmlformats.org/officeDocument/2006/relationships/hyperlink" Target="https://aei.com.do/cbr/4792" TargetMode="External"/><Relationship Id="rId114" Type="http://schemas.openxmlformats.org/officeDocument/2006/relationships/hyperlink" Target="https://aei.com.do/cbr/4770" TargetMode="External"/><Relationship Id="rId119" Type="http://schemas.openxmlformats.org/officeDocument/2006/relationships/hyperlink" Target="https://aei.com.do/directorio/agentes" TargetMode="External"/><Relationship Id="rId44" Type="http://schemas.openxmlformats.org/officeDocument/2006/relationships/hyperlink" Target="https://aei.com.do/cbr/4793" TargetMode="External"/><Relationship Id="rId60" Type="http://schemas.openxmlformats.org/officeDocument/2006/relationships/hyperlink" Target="https://aei.com.do/cbr/4788" TargetMode="External"/><Relationship Id="rId65" Type="http://schemas.openxmlformats.org/officeDocument/2006/relationships/hyperlink" Target="https://aei.com.do/cbr/4786" TargetMode="External"/><Relationship Id="rId81" Type="http://schemas.openxmlformats.org/officeDocument/2006/relationships/hyperlink" Target="https://aei.com.do/cbr/4781" TargetMode="External"/><Relationship Id="rId86" Type="http://schemas.openxmlformats.org/officeDocument/2006/relationships/hyperlink" Target="https://aei.com.do/cbr/4779" TargetMode="External"/><Relationship Id="rId13" Type="http://schemas.openxmlformats.org/officeDocument/2006/relationships/hyperlink" Target="https://aei.com.do/cbr/4804" TargetMode="External"/><Relationship Id="rId18" Type="http://schemas.openxmlformats.org/officeDocument/2006/relationships/hyperlink" Target="https://aei.com.do/cbr/4802" TargetMode="External"/><Relationship Id="rId39" Type="http://schemas.openxmlformats.org/officeDocument/2006/relationships/hyperlink" Target="https://aei.com.do/cbr/4795" TargetMode="External"/><Relationship Id="rId109" Type="http://schemas.openxmlformats.org/officeDocument/2006/relationships/hyperlink" Target="https://aei.com.do/cbr/4772" TargetMode="External"/><Relationship Id="rId34" Type="http://schemas.openxmlformats.org/officeDocument/2006/relationships/hyperlink" Target="https://aei.com.do/cbr/4797" TargetMode="External"/><Relationship Id="rId50" Type="http://schemas.openxmlformats.org/officeDocument/2006/relationships/hyperlink" Target="https://aei.com.do/cbr/4791" TargetMode="External"/><Relationship Id="rId55" Type="http://schemas.openxmlformats.org/officeDocument/2006/relationships/hyperlink" Target="https://aei.com.do/cbr/4790" TargetMode="External"/><Relationship Id="rId76" Type="http://schemas.openxmlformats.org/officeDocument/2006/relationships/hyperlink" Target="https://aei.com.do/cbr/4783" TargetMode="External"/><Relationship Id="rId97" Type="http://schemas.openxmlformats.org/officeDocument/2006/relationships/hyperlink" Target="https://aei.com.do/cbr/4776" TargetMode="External"/><Relationship Id="rId104" Type="http://schemas.openxmlformats.org/officeDocument/2006/relationships/hyperlink" Target="https://aei.com.do/cbr/4773" TargetMode="External"/><Relationship Id="rId120" Type="http://schemas.openxmlformats.org/officeDocument/2006/relationships/hyperlink" Target="https://aei.com.do/directorio/agentes" TargetMode="External"/><Relationship Id="rId125" Type="http://schemas.openxmlformats.org/officeDocument/2006/relationships/vmlDrawing" Target="../drawings/vmlDrawing2.vml"/><Relationship Id="rId7" Type="http://schemas.openxmlformats.org/officeDocument/2006/relationships/hyperlink" Target="https://aei.com.do/" TargetMode="External"/><Relationship Id="rId71" Type="http://schemas.openxmlformats.org/officeDocument/2006/relationships/hyperlink" Target="https://aei.com.do/cbr/4784" TargetMode="External"/><Relationship Id="rId92" Type="http://schemas.openxmlformats.org/officeDocument/2006/relationships/hyperlink" Target="https://aei.com.do/cbr/4777" TargetMode="External"/><Relationship Id="rId2" Type="http://schemas.openxmlformats.org/officeDocument/2006/relationships/hyperlink" Target="https://aei.com.do/directorio/agentes" TargetMode="External"/><Relationship Id="rId29" Type="http://schemas.openxmlformats.org/officeDocument/2006/relationships/hyperlink" Target="https://aei.com.do/cbr/4798" TargetMode="External"/><Relationship Id="rId24" Type="http://schemas.openxmlformats.org/officeDocument/2006/relationships/hyperlink" Target="https://aei.com.do/cbr/4800" TargetMode="External"/><Relationship Id="rId40" Type="http://schemas.openxmlformats.org/officeDocument/2006/relationships/hyperlink" Target="https://aei.com.do/cbr/4795" TargetMode="External"/><Relationship Id="rId45" Type="http://schemas.openxmlformats.org/officeDocument/2006/relationships/hyperlink" Target="https://aei.com.do/cbr/4793" TargetMode="External"/><Relationship Id="rId66" Type="http://schemas.openxmlformats.org/officeDocument/2006/relationships/hyperlink" Target="https://aei.com.do/cbr/4786" TargetMode="External"/><Relationship Id="rId87" Type="http://schemas.openxmlformats.org/officeDocument/2006/relationships/hyperlink" Target="https://aei.com.do/cbr/4779" TargetMode="External"/><Relationship Id="rId110" Type="http://schemas.openxmlformats.org/officeDocument/2006/relationships/hyperlink" Target="https://aei.com.do/cbr/4771" TargetMode="External"/><Relationship Id="rId115" Type="http://schemas.openxmlformats.org/officeDocument/2006/relationships/hyperlink" Target="https://aei.com.do/cbr/4770" TargetMode="External"/><Relationship Id="rId61" Type="http://schemas.openxmlformats.org/officeDocument/2006/relationships/hyperlink" Target="https://aei.com.do/cbr/4788" TargetMode="External"/><Relationship Id="rId82" Type="http://schemas.openxmlformats.org/officeDocument/2006/relationships/hyperlink" Target="https://aei.com.do/cbr/4781" TargetMode="External"/><Relationship Id="rId19" Type="http://schemas.openxmlformats.org/officeDocument/2006/relationships/hyperlink" Target="https://aei.com.do/cbr/4802" TargetMode="External"/><Relationship Id="rId14" Type="http://schemas.openxmlformats.org/officeDocument/2006/relationships/hyperlink" Target="https://aei.com.do/cbr/4803" TargetMode="External"/><Relationship Id="rId30" Type="http://schemas.openxmlformats.org/officeDocument/2006/relationships/hyperlink" Target="https://aei.com.do/cbr/4798" TargetMode="External"/><Relationship Id="rId35" Type="http://schemas.openxmlformats.org/officeDocument/2006/relationships/hyperlink" Target="https://aei.com.do/cbr/4796" TargetMode="External"/><Relationship Id="rId56" Type="http://schemas.openxmlformats.org/officeDocument/2006/relationships/hyperlink" Target="https://aei.com.do/cbr/4789" TargetMode="External"/><Relationship Id="rId77" Type="http://schemas.openxmlformats.org/officeDocument/2006/relationships/hyperlink" Target="https://aei.com.do/cbr/4782" TargetMode="External"/><Relationship Id="rId100" Type="http://schemas.openxmlformats.org/officeDocument/2006/relationships/hyperlink" Target="https://aei.com.do/cbr/4775" TargetMode="External"/><Relationship Id="rId105" Type="http://schemas.openxmlformats.org/officeDocument/2006/relationships/hyperlink" Target="https://aei.com.do/cbr/4773" TargetMode="External"/><Relationship Id="rId126" Type="http://schemas.openxmlformats.org/officeDocument/2006/relationships/control" Target="../activeX/activeX1.xml"/><Relationship Id="rId8" Type="http://schemas.openxmlformats.org/officeDocument/2006/relationships/hyperlink" Target="https://aei.com.do/cbr/4805" TargetMode="External"/><Relationship Id="rId51" Type="http://schemas.openxmlformats.org/officeDocument/2006/relationships/hyperlink" Target="https://aei.com.do/cbr/4791" TargetMode="External"/><Relationship Id="rId72" Type="http://schemas.openxmlformats.org/officeDocument/2006/relationships/hyperlink" Target="https://aei.com.do/cbr/4784" TargetMode="External"/><Relationship Id="rId93" Type="http://schemas.openxmlformats.org/officeDocument/2006/relationships/hyperlink" Target="https://aei.com.do/cbr/4777" TargetMode="External"/><Relationship Id="rId98" Type="http://schemas.openxmlformats.org/officeDocument/2006/relationships/hyperlink" Target="https://aei.com.do/cbr/4775" TargetMode="External"/><Relationship Id="rId121" Type="http://schemas.openxmlformats.org/officeDocument/2006/relationships/hyperlink" Target="https://aei.com.do/directorio/agentes" TargetMode="External"/><Relationship Id="rId3" Type="http://schemas.openxmlformats.org/officeDocument/2006/relationships/hyperlink" Target="https://aei.com.do/directorio/agentes" TargetMode="External"/><Relationship Id="rId25" Type="http://schemas.openxmlformats.org/officeDocument/2006/relationships/hyperlink" Target="https://aei.com.do/cbr/4800" TargetMode="External"/><Relationship Id="rId46" Type="http://schemas.openxmlformats.org/officeDocument/2006/relationships/hyperlink" Target="https://aei.com.do/cbr/4793" TargetMode="External"/><Relationship Id="rId67" Type="http://schemas.openxmlformats.org/officeDocument/2006/relationships/hyperlink" Target="https://aei.com.do/cbr/4786" TargetMode="External"/><Relationship Id="rId116" Type="http://schemas.openxmlformats.org/officeDocument/2006/relationships/hyperlink" Target="https://aei.com.do/directorio/agentes" TargetMode="External"/><Relationship Id="rId20" Type="http://schemas.openxmlformats.org/officeDocument/2006/relationships/hyperlink" Target="https://aei.com.do/cbr/4801" TargetMode="External"/><Relationship Id="rId41" Type="http://schemas.openxmlformats.org/officeDocument/2006/relationships/hyperlink" Target="https://aei.com.do/cbr/4794" TargetMode="External"/><Relationship Id="rId62" Type="http://schemas.openxmlformats.org/officeDocument/2006/relationships/hyperlink" Target="https://aei.com.do/cbr/4787" TargetMode="External"/><Relationship Id="rId83" Type="http://schemas.openxmlformats.org/officeDocument/2006/relationships/hyperlink" Target="https://aei.com.do/cbr/4780" TargetMode="External"/><Relationship Id="rId88" Type="http://schemas.openxmlformats.org/officeDocument/2006/relationships/hyperlink" Target="https://aei.com.do/cbr/4779" TargetMode="External"/><Relationship Id="rId111" Type="http://schemas.openxmlformats.org/officeDocument/2006/relationships/hyperlink" Target="https://aei.com.do/cbr/4771" TargetMode="External"/><Relationship Id="rId15" Type="http://schemas.openxmlformats.org/officeDocument/2006/relationships/hyperlink" Target="https://aei.com.do/cbr/4803" TargetMode="External"/><Relationship Id="rId36" Type="http://schemas.openxmlformats.org/officeDocument/2006/relationships/hyperlink" Target="https://aei.com.do/cbr/4796" TargetMode="External"/><Relationship Id="rId57" Type="http://schemas.openxmlformats.org/officeDocument/2006/relationships/hyperlink" Target="https://aei.com.do/cbr/4789" TargetMode="External"/><Relationship Id="rId106" Type="http://schemas.openxmlformats.org/officeDocument/2006/relationships/hyperlink" Target="https://aei.com.do/cbr/4773" TargetMode="External"/><Relationship Id="rId127" Type="http://schemas.openxmlformats.org/officeDocument/2006/relationships/image" Target="../media/image6.emf"/><Relationship Id="rId10" Type="http://schemas.openxmlformats.org/officeDocument/2006/relationships/hyperlink" Target="https://aei.com.do/cbr/4805" TargetMode="External"/><Relationship Id="rId31" Type="http://schemas.openxmlformats.org/officeDocument/2006/relationships/hyperlink" Target="https://aei.com.do/cbr/4798" TargetMode="External"/><Relationship Id="rId52" Type="http://schemas.openxmlformats.org/officeDocument/2006/relationships/hyperlink" Target="https://aei.com.do/cbr/4791" TargetMode="External"/><Relationship Id="rId73" Type="http://schemas.openxmlformats.org/officeDocument/2006/relationships/hyperlink" Target="https://aei.com.do/cbr/4784" TargetMode="External"/><Relationship Id="rId78" Type="http://schemas.openxmlformats.org/officeDocument/2006/relationships/hyperlink" Target="https://aei.com.do/cbr/4782" TargetMode="External"/><Relationship Id="rId94" Type="http://schemas.openxmlformats.org/officeDocument/2006/relationships/hyperlink" Target="https://aei.com.do/cbr/4777" TargetMode="External"/><Relationship Id="rId99" Type="http://schemas.openxmlformats.org/officeDocument/2006/relationships/hyperlink" Target="https://aei.com.do/cbr/4775" TargetMode="External"/><Relationship Id="rId101" Type="http://schemas.openxmlformats.org/officeDocument/2006/relationships/hyperlink" Target="https://aei.com.do/cbr/4774" TargetMode="External"/><Relationship Id="rId122" Type="http://schemas.openxmlformats.org/officeDocument/2006/relationships/hyperlink" Target="https://aei.com.do/directorio/agentes" TargetMode="External"/><Relationship Id="rId4" Type="http://schemas.openxmlformats.org/officeDocument/2006/relationships/hyperlink" Target="https://aei.com.do/directorio/agentes" TargetMode="External"/><Relationship Id="rId9" Type="http://schemas.openxmlformats.org/officeDocument/2006/relationships/hyperlink" Target="https://aei.com.do/cbr/4805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89"/>
  <sheetViews>
    <sheetView topLeftCell="A13" zoomScaleNormal="100" workbookViewId="0">
      <selection activeCell="U18" sqref="U18"/>
    </sheetView>
  </sheetViews>
  <sheetFormatPr baseColWidth="10" defaultColWidth="8.7265625" defaultRowHeight="14.5"/>
  <cols>
    <col min="2" max="2" width="19.1796875" customWidth="1"/>
    <col min="3" max="3" width="8.453125" style="2" hidden="1" customWidth="1"/>
    <col min="4" max="4" width="10.54296875" hidden="1" customWidth="1"/>
    <col min="5" max="5" width="10.26953125" style="2" hidden="1" customWidth="1"/>
    <col min="6" max="6" width="7.81640625" style="2" hidden="1" customWidth="1"/>
    <col min="7" max="7" width="8.26953125" hidden="1" customWidth="1"/>
    <col min="8" max="8" width="9.453125" hidden="1" customWidth="1"/>
    <col min="9" max="9" width="5" hidden="1" customWidth="1"/>
    <col min="10" max="10" width="5.81640625" hidden="1" customWidth="1"/>
    <col min="11" max="11" width="4.453125" hidden="1" customWidth="1"/>
    <col min="12" max="12" width="16.81640625" hidden="1" customWidth="1"/>
    <col min="13" max="13" width="15.54296875" hidden="1" customWidth="1"/>
    <col min="14" max="14" width="14.7265625" hidden="1" customWidth="1"/>
    <col min="15" max="15" width="14.1796875" hidden="1" customWidth="1"/>
    <col min="16" max="16" width="16.1796875" hidden="1" customWidth="1"/>
    <col min="17" max="17" width="15.54296875" hidden="1" customWidth="1"/>
    <col min="18" max="18" width="14.7265625" hidden="1" customWidth="1"/>
    <col min="19" max="19" width="15.1796875" hidden="1" customWidth="1"/>
    <col min="20" max="20" width="14" hidden="1" customWidth="1"/>
    <col min="21" max="21" width="16" bestFit="1" customWidth="1"/>
    <col min="22" max="22" width="11" customWidth="1"/>
    <col min="23" max="24" width="13.54296875" bestFit="1" customWidth="1"/>
    <col min="25" max="25" width="15.6328125" customWidth="1"/>
    <col min="26" max="26" width="16" customWidth="1"/>
    <col min="27" max="27" width="12.54296875" customWidth="1"/>
    <col min="28" max="28" width="15.26953125" customWidth="1"/>
    <col min="29" max="29" width="16.453125" customWidth="1"/>
    <col min="30" max="30" width="16.36328125" customWidth="1"/>
    <col min="31" max="31" width="21.26953125" customWidth="1"/>
  </cols>
  <sheetData>
    <row r="1" spans="1:29">
      <c r="C1" s="198" t="s">
        <v>257</v>
      </c>
      <c r="D1" s="198"/>
      <c r="E1" s="198"/>
      <c r="F1" s="198"/>
      <c r="G1" s="198"/>
      <c r="H1" s="198"/>
      <c r="I1" s="198"/>
    </row>
    <row r="2" spans="1:29" ht="15.5">
      <c r="B2" s="14"/>
      <c r="C2" s="57" t="s">
        <v>258</v>
      </c>
      <c r="D2" s="58" t="s">
        <v>259</v>
      </c>
      <c r="E2" s="57" t="s">
        <v>260</v>
      </c>
      <c r="F2" s="57" t="s">
        <v>261</v>
      </c>
      <c r="G2" s="57" t="s">
        <v>262</v>
      </c>
      <c r="H2" s="59" t="s">
        <v>263</v>
      </c>
      <c r="I2" s="136" t="s">
        <v>264</v>
      </c>
      <c r="J2" s="60" t="s">
        <v>265</v>
      </c>
      <c r="K2" s="60" t="s">
        <v>266</v>
      </c>
      <c r="L2" s="60" t="s">
        <v>267</v>
      </c>
      <c r="M2" s="60" t="s">
        <v>268</v>
      </c>
      <c r="N2" s="60" t="s">
        <v>269</v>
      </c>
      <c r="O2" s="60" t="s">
        <v>258</v>
      </c>
      <c r="P2" s="60" t="s">
        <v>270</v>
      </c>
      <c r="Q2" s="60" t="s">
        <v>271</v>
      </c>
      <c r="R2" s="60" t="s">
        <v>272</v>
      </c>
      <c r="S2" s="60" t="s">
        <v>262</v>
      </c>
      <c r="T2" s="60" t="s">
        <v>273</v>
      </c>
      <c r="U2" s="60" t="s">
        <v>267</v>
      </c>
      <c r="V2" s="60" t="s">
        <v>268</v>
      </c>
      <c r="W2" s="60" t="s">
        <v>269</v>
      </c>
      <c r="X2" s="60" t="s">
        <v>258</v>
      </c>
      <c r="Y2" s="60" t="s">
        <v>270</v>
      </c>
      <c r="Z2" s="60" t="s">
        <v>271</v>
      </c>
    </row>
    <row r="3" spans="1:29">
      <c r="A3" s="20"/>
      <c r="B3" s="14" t="s">
        <v>274</v>
      </c>
      <c r="C3" s="12"/>
      <c r="D3" s="12">
        <v>50000</v>
      </c>
      <c r="E3" s="12">
        <v>15000</v>
      </c>
      <c r="F3" s="12">
        <v>124000</v>
      </c>
      <c r="G3" s="12">
        <v>34000</v>
      </c>
      <c r="H3" s="12">
        <v>45000</v>
      </c>
      <c r="I3" s="12">
        <v>20000</v>
      </c>
      <c r="J3" s="12">
        <v>10000</v>
      </c>
      <c r="K3" s="12">
        <v>10000</v>
      </c>
      <c r="L3" s="12">
        <v>50000</v>
      </c>
      <c r="M3" s="12">
        <v>115000</v>
      </c>
      <c r="N3" s="12">
        <v>113000</v>
      </c>
      <c r="O3" s="12">
        <v>73000</v>
      </c>
      <c r="P3" s="12">
        <v>54000</v>
      </c>
      <c r="Q3" s="12">
        <v>4000</v>
      </c>
      <c r="R3" s="12">
        <v>16000</v>
      </c>
      <c r="S3" s="12">
        <v>16000</v>
      </c>
      <c r="T3" s="12">
        <v>40000</v>
      </c>
      <c r="U3" s="12">
        <v>20000</v>
      </c>
      <c r="V3" s="12">
        <v>20000</v>
      </c>
      <c r="W3" s="12">
        <v>20000</v>
      </c>
      <c r="X3" s="12">
        <v>30000</v>
      </c>
      <c r="Y3" s="12">
        <v>14000</v>
      </c>
      <c r="Z3" s="12">
        <v>14000</v>
      </c>
      <c r="AA3" t="s">
        <v>800</v>
      </c>
      <c r="AB3" s="134">
        <v>30000</v>
      </c>
    </row>
    <row r="4" spans="1:29">
      <c r="A4" s="20"/>
      <c r="B4" s="14" t="s">
        <v>275</v>
      </c>
      <c r="C4" s="12"/>
      <c r="D4" s="12">
        <v>20000</v>
      </c>
      <c r="E4" s="12">
        <v>105000</v>
      </c>
      <c r="F4" s="12">
        <v>225000</v>
      </c>
      <c r="G4" s="12">
        <v>66000</v>
      </c>
      <c r="H4" s="12">
        <v>85000</v>
      </c>
      <c r="I4" s="12">
        <v>44000</v>
      </c>
      <c r="J4" s="12">
        <v>50000</v>
      </c>
      <c r="K4" s="12">
        <v>50000</v>
      </c>
      <c r="L4" s="12">
        <v>178000</v>
      </c>
      <c r="M4" s="12">
        <v>221000</v>
      </c>
      <c r="N4" s="12">
        <v>217000</v>
      </c>
      <c r="O4" s="12">
        <v>127000</v>
      </c>
      <c r="P4" s="12">
        <v>183000</v>
      </c>
      <c r="Q4" s="12">
        <v>74300</v>
      </c>
      <c r="R4" s="12">
        <v>87000</v>
      </c>
      <c r="S4" s="12">
        <v>87000</v>
      </c>
      <c r="T4" s="12">
        <v>145000</v>
      </c>
      <c r="U4" s="12">
        <v>30000</v>
      </c>
      <c r="V4" s="12">
        <v>32190</v>
      </c>
      <c r="W4" s="12">
        <v>91432</v>
      </c>
      <c r="X4" s="12">
        <v>18962</v>
      </c>
      <c r="Y4" s="12">
        <v>139000</v>
      </c>
      <c r="Z4" s="12">
        <v>1163423</v>
      </c>
      <c r="AA4" t="s">
        <v>801</v>
      </c>
      <c r="AB4" s="134">
        <v>10000</v>
      </c>
    </row>
    <row r="5" spans="1:29">
      <c r="A5" s="20"/>
      <c r="B5" s="14" t="s">
        <v>276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>
        <v>25000</v>
      </c>
      <c r="U5" s="12">
        <v>20000</v>
      </c>
      <c r="V5" s="12">
        <v>20188</v>
      </c>
      <c r="W5" s="12">
        <v>68000</v>
      </c>
      <c r="X5" s="12">
        <v>0</v>
      </c>
      <c r="Y5" s="12">
        <v>0</v>
      </c>
      <c r="Z5" s="12">
        <v>0</v>
      </c>
      <c r="AA5" t="s">
        <v>802</v>
      </c>
      <c r="AB5" s="134">
        <v>2000</v>
      </c>
    </row>
    <row r="6" spans="1:29">
      <c r="A6" s="20"/>
      <c r="B6" s="14" t="s">
        <v>278</v>
      </c>
      <c r="C6" s="12"/>
      <c r="D6" s="14"/>
      <c r="E6" s="12">
        <v>45363</v>
      </c>
      <c r="F6" s="12">
        <v>33462</v>
      </c>
      <c r="G6" s="12">
        <v>33462</v>
      </c>
      <c r="H6" s="12">
        <v>29431</v>
      </c>
      <c r="I6" s="12">
        <v>27795</v>
      </c>
      <c r="J6" s="12">
        <v>27573</v>
      </c>
      <c r="K6" s="12">
        <v>25979</v>
      </c>
      <c r="L6" s="12">
        <v>20163</v>
      </c>
      <c r="M6" s="12">
        <v>69744</v>
      </c>
      <c r="N6" s="12">
        <v>24747</v>
      </c>
      <c r="O6" s="12">
        <v>19749.36</v>
      </c>
      <c r="P6" s="12">
        <v>7749.36</v>
      </c>
      <c r="Q6" s="12">
        <v>7750</v>
      </c>
      <c r="R6" s="12">
        <v>48500</v>
      </c>
      <c r="S6" s="12">
        <v>48500</v>
      </c>
      <c r="T6" s="12">
        <v>41500</v>
      </c>
      <c r="U6" s="12">
        <v>20500</v>
      </c>
      <c r="V6" s="12">
        <v>16000</v>
      </c>
      <c r="W6" s="12">
        <v>16000</v>
      </c>
      <c r="X6" s="12">
        <v>15996</v>
      </c>
      <c r="Y6" s="12">
        <v>15996</v>
      </c>
      <c r="Z6" s="12">
        <v>15996</v>
      </c>
    </row>
    <row r="7" spans="1:29">
      <c r="A7" s="20"/>
      <c r="B7" s="14" t="s">
        <v>279</v>
      </c>
      <c r="C7" s="12"/>
      <c r="D7" s="12">
        <f>25*54.1</f>
        <v>1352.5</v>
      </c>
      <c r="E7" s="12">
        <v>1352</v>
      </c>
      <c r="F7" s="12">
        <v>2287</v>
      </c>
      <c r="G7" s="12">
        <v>17</v>
      </c>
      <c r="H7" s="12">
        <v>1147</v>
      </c>
      <c r="I7" s="12">
        <v>828</v>
      </c>
      <c r="J7" s="12">
        <v>0</v>
      </c>
      <c r="K7" s="12">
        <v>1200</v>
      </c>
      <c r="L7" s="12">
        <v>7.48</v>
      </c>
      <c r="M7" s="12">
        <v>1230</v>
      </c>
      <c r="N7" s="12">
        <v>1329</v>
      </c>
      <c r="O7" s="12">
        <v>2590</v>
      </c>
      <c r="P7" s="12">
        <v>3851</v>
      </c>
      <c r="Q7" s="12">
        <v>5112</v>
      </c>
      <c r="R7" s="12">
        <v>2200</v>
      </c>
      <c r="S7" s="12">
        <v>24</v>
      </c>
      <c r="T7" s="12">
        <v>1264</v>
      </c>
      <c r="U7" s="12">
        <v>300</v>
      </c>
      <c r="V7" s="12">
        <v>1400</v>
      </c>
      <c r="W7" s="12"/>
      <c r="X7" s="12">
        <v>1400</v>
      </c>
      <c r="Y7" s="12">
        <v>1240</v>
      </c>
      <c r="Z7" s="12">
        <v>1240</v>
      </c>
    </row>
    <row r="8" spans="1:29">
      <c r="A8" s="20"/>
      <c r="B8" s="14" t="s">
        <v>280</v>
      </c>
      <c r="C8" s="12"/>
      <c r="D8" s="12">
        <v>7500</v>
      </c>
      <c r="E8" s="12">
        <v>4500</v>
      </c>
      <c r="F8" s="12">
        <v>4375</v>
      </c>
      <c r="G8" s="12">
        <v>1045</v>
      </c>
      <c r="H8" s="12">
        <v>150</v>
      </c>
      <c r="I8" s="12">
        <v>2000</v>
      </c>
      <c r="J8" s="61">
        <v>1133</v>
      </c>
      <c r="K8" s="61">
        <v>333</v>
      </c>
      <c r="L8" s="61">
        <v>1413</v>
      </c>
      <c r="M8" s="61">
        <v>640</v>
      </c>
      <c r="N8" s="61">
        <v>640</v>
      </c>
      <c r="O8" s="61">
        <v>2266</v>
      </c>
      <c r="P8" s="61">
        <v>1546</v>
      </c>
      <c r="Q8" s="61">
        <v>1226</v>
      </c>
      <c r="R8" s="61">
        <v>500</v>
      </c>
      <c r="S8" s="61">
        <v>240</v>
      </c>
      <c r="T8" s="61">
        <v>300</v>
      </c>
      <c r="U8" s="12">
        <v>200</v>
      </c>
      <c r="V8" s="12">
        <v>200</v>
      </c>
      <c r="W8" s="12">
        <v>500</v>
      </c>
      <c r="X8" s="12">
        <v>300</v>
      </c>
      <c r="Y8" s="12">
        <v>450</v>
      </c>
      <c r="Z8" s="12">
        <v>450</v>
      </c>
    </row>
    <row r="9" spans="1:29">
      <c r="A9" s="20"/>
      <c r="B9" s="14" t="s">
        <v>281</v>
      </c>
      <c r="C9" s="12"/>
      <c r="D9" s="12"/>
      <c r="E9" s="12"/>
      <c r="F9" s="12"/>
      <c r="G9" s="12"/>
      <c r="H9" s="12"/>
      <c r="I9" s="14"/>
      <c r="J9" s="14"/>
      <c r="K9" s="14"/>
      <c r="L9" s="14"/>
      <c r="M9" s="14"/>
      <c r="N9" s="22" t="e">
        <f>+N6+#REF!+#REF!+N7+N8</f>
        <v>#REF!</v>
      </c>
      <c r="O9" s="22" t="e">
        <f>+O6+#REF!+#REF!+O7+O8</f>
        <v>#REF!</v>
      </c>
      <c r="P9" s="22" t="e">
        <f>+P6+#REF!+#REF!+P7+P8</f>
        <v>#REF!</v>
      </c>
      <c r="Q9" s="22" t="e">
        <f>+Q6+#REF!+#REF!+Q7+Q8</f>
        <v>#REF!</v>
      </c>
      <c r="R9" s="22" t="e">
        <f>+R6+#REF!+#REF!+R7+R8</f>
        <v>#REF!</v>
      </c>
      <c r="S9" s="22" t="e">
        <f>+S6+#REF!+#REF!+S7+S8</f>
        <v>#REF!</v>
      </c>
      <c r="T9" s="22" t="e">
        <f>+T6+#REF!+#REF!+T7+T8</f>
        <v>#REF!</v>
      </c>
      <c r="U9" s="22">
        <f t="shared" ref="U9:Z9" si="0">+U7+U8+U6</f>
        <v>21000</v>
      </c>
      <c r="V9" s="22">
        <f t="shared" si="0"/>
        <v>17600</v>
      </c>
      <c r="W9" s="22">
        <f t="shared" si="0"/>
        <v>16500</v>
      </c>
      <c r="X9" s="22">
        <f t="shared" si="0"/>
        <v>17696</v>
      </c>
      <c r="Y9" s="22">
        <f t="shared" si="0"/>
        <v>17686</v>
      </c>
      <c r="Z9" s="22">
        <f t="shared" si="0"/>
        <v>17686</v>
      </c>
    </row>
    <row r="10" spans="1:29">
      <c r="A10" s="20"/>
      <c r="B10" s="14"/>
      <c r="C10" s="12"/>
      <c r="D10" s="12">
        <f>+D21*54.35</f>
        <v>481133.375</v>
      </c>
      <c r="E10" s="12">
        <f>+E21*54.35</f>
        <v>2783535.25</v>
      </c>
      <c r="F10" s="12">
        <f>+F21*55</f>
        <v>2206820</v>
      </c>
      <c r="G10" s="12">
        <f>+G21*55.6</f>
        <v>1919534.4000000001</v>
      </c>
      <c r="H10" s="12">
        <f>+H21*55.6</f>
        <v>1708476.8</v>
      </c>
      <c r="I10" s="12">
        <f>+I21*55.6</f>
        <v>1702638.8</v>
      </c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9">
      <c r="A11" s="20"/>
      <c r="B11" s="14" t="s">
        <v>282</v>
      </c>
      <c r="C11" s="12"/>
      <c r="D11" s="12">
        <f t="shared" ref="D11:I11" si="1">SUM(D3:D4)</f>
        <v>70000</v>
      </c>
      <c r="E11" s="12">
        <f t="shared" si="1"/>
        <v>120000</v>
      </c>
      <c r="F11" s="12">
        <f t="shared" si="1"/>
        <v>349000</v>
      </c>
      <c r="G11" s="12">
        <f t="shared" si="1"/>
        <v>100000</v>
      </c>
      <c r="H11" s="12">
        <f t="shared" si="1"/>
        <v>130000</v>
      </c>
      <c r="I11" s="12">
        <f t="shared" si="1"/>
        <v>64000</v>
      </c>
      <c r="J11" s="12">
        <f t="shared" ref="J11:T11" si="2">+J3+J4</f>
        <v>60000</v>
      </c>
      <c r="K11" s="12">
        <f t="shared" si="2"/>
        <v>60000</v>
      </c>
      <c r="L11" s="12">
        <f t="shared" si="2"/>
        <v>228000</v>
      </c>
      <c r="M11" s="12">
        <f t="shared" si="2"/>
        <v>336000</v>
      </c>
      <c r="N11" s="12">
        <f t="shared" si="2"/>
        <v>330000</v>
      </c>
      <c r="O11" s="12">
        <f t="shared" si="2"/>
        <v>200000</v>
      </c>
      <c r="P11" s="12">
        <f t="shared" si="2"/>
        <v>237000</v>
      </c>
      <c r="Q11" s="12">
        <f t="shared" si="2"/>
        <v>78300</v>
      </c>
      <c r="R11" s="12">
        <f t="shared" si="2"/>
        <v>103000</v>
      </c>
      <c r="S11" s="12">
        <f t="shared" si="2"/>
        <v>103000</v>
      </c>
      <c r="T11" s="12">
        <f t="shared" si="2"/>
        <v>185000</v>
      </c>
      <c r="U11" s="12">
        <f t="shared" ref="U11:Z11" si="3">+U3+U4+U5</f>
        <v>70000</v>
      </c>
      <c r="V11" s="12">
        <f t="shared" si="3"/>
        <v>72378</v>
      </c>
      <c r="W11" s="12">
        <f t="shared" si="3"/>
        <v>179432</v>
      </c>
      <c r="X11" s="12">
        <f t="shared" si="3"/>
        <v>48962</v>
      </c>
      <c r="Y11" s="12">
        <f t="shared" si="3"/>
        <v>153000</v>
      </c>
      <c r="Z11" s="12">
        <f t="shared" si="3"/>
        <v>1177423</v>
      </c>
    </row>
    <row r="12" spans="1:29">
      <c r="A12" s="20"/>
      <c r="B12" s="14" t="s">
        <v>283</v>
      </c>
      <c r="C12" s="12">
        <v>7500000</v>
      </c>
      <c r="D12" s="12">
        <v>7500000</v>
      </c>
      <c r="E12" s="12">
        <v>7500000</v>
      </c>
      <c r="F12" s="12">
        <v>8000000</v>
      </c>
      <c r="G12" s="12">
        <v>8000000</v>
      </c>
      <c r="H12" s="12">
        <v>8000000</v>
      </c>
      <c r="I12" s="12">
        <v>8000000</v>
      </c>
      <c r="J12" s="12">
        <f>+J23*56</f>
        <v>10077000</v>
      </c>
      <c r="K12" s="12">
        <f>+K23*58</f>
        <v>10471868</v>
      </c>
      <c r="L12" s="12">
        <v>10556000</v>
      </c>
      <c r="M12" s="12">
        <f>10556000+4500+7000</f>
        <v>10567500</v>
      </c>
      <c r="N12" s="12">
        <f>10556000+4500+7000+5000</f>
        <v>10572500</v>
      </c>
      <c r="O12" s="12">
        <f>10556000+4500+7000+10000</f>
        <v>10577500</v>
      </c>
      <c r="P12" s="12">
        <f>10556000+4500+7000+10000+70000</f>
        <v>10647500</v>
      </c>
      <c r="Q12" s="12">
        <f>10556000+4500+7000+10000+70000+5000</f>
        <v>10652500</v>
      </c>
      <c r="R12" s="12">
        <f>10652500+8000</f>
        <v>10660500</v>
      </c>
      <c r="S12" s="12">
        <f>10652500+8000+20000</f>
        <v>10680500</v>
      </c>
      <c r="T12" s="12">
        <f>10652500+8000+10000+300000</f>
        <v>10970500</v>
      </c>
      <c r="U12" s="12">
        <f>10652500+8000+10000+300000</f>
        <v>10970500</v>
      </c>
      <c r="V12" s="12">
        <f>10652500+8000+10000+300000</f>
        <v>10970500</v>
      </c>
      <c r="W12" s="12">
        <f>10652500+8000+10000+300000</f>
        <v>10970500</v>
      </c>
      <c r="X12" s="12">
        <v>11000000</v>
      </c>
      <c r="Y12" s="12">
        <v>11000000</v>
      </c>
      <c r="Z12" s="12">
        <v>11000000</v>
      </c>
    </row>
    <row r="13" spans="1:29">
      <c r="A13" s="20"/>
      <c r="B13" s="14" t="s">
        <v>543</v>
      </c>
      <c r="C13" s="12"/>
      <c r="D13" s="12"/>
      <c r="E13" s="12"/>
      <c r="F13" s="12"/>
      <c r="G13" s="12"/>
      <c r="H13" s="12"/>
      <c r="I13" s="12"/>
      <c r="J13" s="12">
        <f>+J24*56</f>
        <v>7040000</v>
      </c>
      <c r="K13" s="12">
        <f>+K24*58</f>
        <v>7326428.8200000003</v>
      </c>
      <c r="L13" s="12">
        <v>7429500</v>
      </c>
      <c r="M13" s="12">
        <f>7429500+13000+2500+180000*2.3</f>
        <v>7859000</v>
      </c>
      <c r="N13" s="12">
        <f>7859500+13000+2500+5000</f>
        <v>7880000</v>
      </c>
      <c r="O13" s="12">
        <f>7859500+13000+2500+50000</f>
        <v>7925000</v>
      </c>
      <c r="P13" s="12">
        <f>7859500+13000+2500+50000</f>
        <v>7925000</v>
      </c>
      <c r="Q13" s="12">
        <f>5300*1510</f>
        <v>8003000</v>
      </c>
      <c r="R13" s="12">
        <f>5300*1530</f>
        <v>8109000</v>
      </c>
      <c r="S13" s="12">
        <f>5300*1550</f>
        <v>8215000</v>
      </c>
      <c r="T13" s="12">
        <f>5300*1575</f>
        <v>8347500</v>
      </c>
      <c r="U13" s="12">
        <f>2973*2000</f>
        <v>5946000</v>
      </c>
      <c r="V13" s="12">
        <f>2973*2000</f>
        <v>5946000</v>
      </c>
      <c r="W13" s="12">
        <f>2110*2000</f>
        <v>4220000</v>
      </c>
      <c r="X13" s="12">
        <f>2110*2000</f>
        <v>4220000</v>
      </c>
      <c r="Y13" s="12">
        <f>2110*2000</f>
        <v>4220000</v>
      </c>
      <c r="Z13" s="12">
        <f>2110*2000</f>
        <v>4220000</v>
      </c>
      <c r="AB13" s="12">
        <v>5300000</v>
      </c>
      <c r="AC13" s="12"/>
    </row>
    <row r="14" spans="1:29">
      <c r="A14" s="20"/>
      <c r="B14" s="14" t="s">
        <v>807</v>
      </c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>
        <f>1382*1200</f>
        <v>1658400</v>
      </c>
      <c r="X14" s="12">
        <f>1382*1200</f>
        <v>1658400</v>
      </c>
      <c r="Y14" s="12">
        <f>1382*1200</f>
        <v>1658400</v>
      </c>
      <c r="Z14" s="12">
        <f>1382*1200</f>
        <v>1658400</v>
      </c>
      <c r="AB14" s="12"/>
      <c r="AC14" s="12"/>
    </row>
    <row r="15" spans="1:29">
      <c r="A15" s="20"/>
      <c r="B15" s="14" t="s">
        <v>542</v>
      </c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>
        <f>1470*2000</f>
        <v>2940000</v>
      </c>
      <c r="V15" s="12">
        <f>1470*2000</f>
        <v>2940000</v>
      </c>
      <c r="W15" s="12">
        <f>1470*2000</f>
        <v>2940000</v>
      </c>
      <c r="X15" s="12">
        <f>1470*2100</f>
        <v>3087000</v>
      </c>
      <c r="Y15" s="12">
        <f>1470*2100</f>
        <v>3087000</v>
      </c>
      <c r="Z15" s="12">
        <f>1470*2100</f>
        <v>3087000</v>
      </c>
      <c r="AB15" s="12"/>
      <c r="AC15" s="12"/>
    </row>
    <row r="16" spans="1:29">
      <c r="A16" s="20"/>
      <c r="B16" s="14" t="s">
        <v>285</v>
      </c>
      <c r="C16" s="12"/>
      <c r="D16" s="12"/>
      <c r="E16" s="12"/>
      <c r="F16" s="12"/>
      <c r="G16" s="12"/>
      <c r="H16" s="12"/>
      <c r="I16" s="12"/>
      <c r="J16" s="12">
        <f>+J27*56</f>
        <v>26509.999999999993</v>
      </c>
      <c r="K16" s="12">
        <f>+K27*58</f>
        <v>27456.785714285706</v>
      </c>
      <c r="L16" s="12">
        <v>32456</v>
      </c>
      <c r="M16" s="12">
        <v>33000</v>
      </c>
      <c r="N16" s="12">
        <v>33000</v>
      </c>
      <c r="O16" s="12">
        <f>33000+400*58</f>
        <v>56200</v>
      </c>
      <c r="P16" s="12">
        <v>183452</v>
      </c>
      <c r="Q16" s="12">
        <f>183452+39830</f>
        <v>223282</v>
      </c>
      <c r="R16" s="12">
        <f>223282+54830</f>
        <v>278112</v>
      </c>
      <c r="S16" s="12">
        <f>223282+54830</f>
        <v>278112</v>
      </c>
      <c r="T16" s="12">
        <f>223282+54830+127370+20000</f>
        <v>425482</v>
      </c>
      <c r="U16" s="12">
        <f>223282+54830+127370+20000+300*60+25000+10000+25000+15000</f>
        <v>518482</v>
      </c>
      <c r="V16" s="12">
        <f>518482+25000+60*60+50*60</f>
        <v>550082</v>
      </c>
      <c r="W16" s="12">
        <f>518482+25000+60*60+50*60+30000+60*62</f>
        <v>583802</v>
      </c>
      <c r="X16" s="12">
        <f>518482+25000+60*60+50*60+30000+60*62</f>
        <v>583802</v>
      </c>
      <c r="Y16" s="12">
        <v>380000</v>
      </c>
      <c r="Z16" s="12">
        <v>380000</v>
      </c>
      <c r="AB16" s="12">
        <v>1500000</v>
      </c>
      <c r="AC16" s="12"/>
    </row>
    <row r="17" spans="1:29">
      <c r="A17" s="20"/>
      <c r="B17" s="14" t="s">
        <v>286</v>
      </c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2">
        <f>5605000+9100*30</f>
        <v>5878000</v>
      </c>
      <c r="N17" s="12">
        <f>8100*760</f>
        <v>6156000</v>
      </c>
      <c r="O17" s="12">
        <f>8100*780</f>
        <v>6318000</v>
      </c>
      <c r="P17" s="12">
        <f>8100*785</f>
        <v>6358500</v>
      </c>
      <c r="Q17" s="12">
        <f>8000*795</f>
        <v>6360000</v>
      </c>
      <c r="R17" s="12">
        <f>8000*805</f>
        <v>6440000</v>
      </c>
      <c r="S17" s="12">
        <f>8000*810</f>
        <v>6480000</v>
      </c>
      <c r="T17" s="12">
        <f>8000*830</f>
        <v>6640000</v>
      </c>
      <c r="U17" s="12">
        <f>8000*940</f>
        <v>7520000</v>
      </c>
      <c r="V17" s="12">
        <f>8000*960</f>
        <v>7680000</v>
      </c>
      <c r="W17" s="12">
        <f>8000*970</f>
        <v>7760000</v>
      </c>
      <c r="X17" s="12">
        <f>8000*970</f>
        <v>7760000</v>
      </c>
      <c r="Y17" s="12">
        <f>(8000-986)*977</f>
        <v>6852678</v>
      </c>
      <c r="Z17" s="12">
        <f>(8000-986-1106)*977</f>
        <v>5772116</v>
      </c>
      <c r="AB17" s="12">
        <f>+AB13+AB16</f>
        <v>6800000</v>
      </c>
      <c r="AC17" s="12">
        <v>12346000</v>
      </c>
    </row>
    <row r="18" spans="1:29">
      <c r="A18" s="20"/>
      <c r="B18" s="14" t="s">
        <v>804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>
        <v>1772000</v>
      </c>
      <c r="Z18" s="12">
        <v>1772000</v>
      </c>
      <c r="AB18" s="2"/>
      <c r="AC18" s="2"/>
    </row>
    <row r="19" spans="1:29">
      <c r="A19" s="20"/>
      <c r="B19" s="14" t="s">
        <v>826</v>
      </c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>
        <v>1122000</v>
      </c>
      <c r="AB19" s="2"/>
      <c r="AC19" s="2"/>
    </row>
    <row r="20" spans="1:29">
      <c r="A20" s="20"/>
      <c r="B20" s="14" t="s">
        <v>292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2"/>
      <c r="N20" s="12"/>
      <c r="O20" s="12"/>
      <c r="P20" s="12"/>
      <c r="Q20" s="12"/>
      <c r="R20" s="12"/>
      <c r="S20" s="12"/>
      <c r="T20" s="12"/>
      <c r="U20" s="12">
        <v>550000</v>
      </c>
      <c r="V20" s="12">
        <v>564000</v>
      </c>
      <c r="W20" s="12">
        <v>545000</v>
      </c>
      <c r="X20" s="12">
        <v>510000</v>
      </c>
      <c r="Y20" s="12">
        <v>521500</v>
      </c>
      <c r="Z20" s="12">
        <v>521500</v>
      </c>
      <c r="AB20" s="2"/>
      <c r="AC20" s="2"/>
    </row>
    <row r="21" spans="1:29">
      <c r="A21" s="20"/>
      <c r="B21" s="14" t="s">
        <v>287</v>
      </c>
      <c r="C21" s="12"/>
      <c r="D21" s="12">
        <f>SUM(D7:D9)</f>
        <v>8852.5</v>
      </c>
      <c r="E21" s="12">
        <f t="shared" ref="E21:M21" si="4">SUM(E6:E9)</f>
        <v>51215</v>
      </c>
      <c r="F21" s="12">
        <f t="shared" si="4"/>
        <v>40124</v>
      </c>
      <c r="G21" s="12">
        <f t="shared" si="4"/>
        <v>34524</v>
      </c>
      <c r="H21" s="12">
        <f t="shared" si="4"/>
        <v>30728</v>
      </c>
      <c r="I21" s="12">
        <f t="shared" si="4"/>
        <v>30623</v>
      </c>
      <c r="J21" s="12">
        <f t="shared" si="4"/>
        <v>28706</v>
      </c>
      <c r="K21" s="12">
        <f t="shared" si="4"/>
        <v>27512</v>
      </c>
      <c r="L21" s="12">
        <f t="shared" si="4"/>
        <v>21583.48</v>
      </c>
      <c r="M21" s="12">
        <f t="shared" si="4"/>
        <v>71614</v>
      </c>
      <c r="N21" s="12" t="e">
        <f t="shared" ref="N21:W21" si="5">+N9</f>
        <v>#REF!</v>
      </c>
      <c r="O21" s="12" t="e">
        <f t="shared" si="5"/>
        <v>#REF!</v>
      </c>
      <c r="P21" s="12" t="e">
        <f t="shared" si="5"/>
        <v>#REF!</v>
      </c>
      <c r="Q21" s="12" t="e">
        <f t="shared" si="5"/>
        <v>#REF!</v>
      </c>
      <c r="R21" s="12" t="e">
        <f t="shared" si="5"/>
        <v>#REF!</v>
      </c>
      <c r="S21" s="12" t="e">
        <f t="shared" si="5"/>
        <v>#REF!</v>
      </c>
      <c r="T21" s="12" t="e">
        <f t="shared" si="5"/>
        <v>#REF!</v>
      </c>
      <c r="U21" s="12">
        <f t="shared" si="5"/>
        <v>21000</v>
      </c>
      <c r="V21" s="12">
        <f t="shared" si="5"/>
        <v>17600</v>
      </c>
      <c r="W21" s="12">
        <f t="shared" si="5"/>
        <v>16500</v>
      </c>
      <c r="X21" s="12">
        <f>+X9</f>
        <v>17696</v>
      </c>
      <c r="Y21" s="12">
        <f>+Y9</f>
        <v>17686</v>
      </c>
      <c r="Z21" s="12">
        <f>+Z9</f>
        <v>17686</v>
      </c>
      <c r="AB21" s="11">
        <f>+U13-AB17</f>
        <v>-854000</v>
      </c>
      <c r="AC21" s="82">
        <f>+AC17-AB17</f>
        <v>5546000</v>
      </c>
    </row>
    <row r="22" spans="1:29">
      <c r="A22" s="20"/>
      <c r="B22" s="14" t="s">
        <v>809</v>
      </c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>
        <f t="shared" ref="M22:S22" si="6">+M11/58.75</f>
        <v>5719.1489361702124</v>
      </c>
      <c r="N22" s="12">
        <f t="shared" si="6"/>
        <v>5617.0212765957449</v>
      </c>
      <c r="O22" s="12">
        <f t="shared" si="6"/>
        <v>3404.255319148936</v>
      </c>
      <c r="P22" s="12">
        <f t="shared" si="6"/>
        <v>4034.0425531914893</v>
      </c>
      <c r="Q22" s="12">
        <f t="shared" si="6"/>
        <v>1332.7659574468084</v>
      </c>
      <c r="R22" s="12">
        <f t="shared" si="6"/>
        <v>1753.1914893617022</v>
      </c>
      <c r="S22" s="12">
        <f t="shared" si="6"/>
        <v>1753.1914893617022</v>
      </c>
      <c r="T22" s="12">
        <f t="shared" ref="T22:U24" si="7">+T11/60</f>
        <v>3083.3333333333335</v>
      </c>
      <c r="U22" s="12">
        <f t="shared" si="7"/>
        <v>1166.6666666666667</v>
      </c>
      <c r="V22" s="12">
        <f t="shared" ref="V22:Y23" si="8">+V11/62</f>
        <v>1167.3870967741937</v>
      </c>
      <c r="W22" s="12">
        <f t="shared" si="8"/>
        <v>2894.0645161290322</v>
      </c>
      <c r="X22" s="12">
        <f t="shared" si="8"/>
        <v>789.70967741935488</v>
      </c>
      <c r="Y22" s="12">
        <f t="shared" si="8"/>
        <v>2467.7419354838707</v>
      </c>
      <c r="Z22" s="12">
        <f>+Z11/62</f>
        <v>18990.693548387098</v>
      </c>
    </row>
    <row r="23" spans="1:29">
      <c r="B23" s="14" t="s">
        <v>289</v>
      </c>
      <c r="C23" s="12"/>
      <c r="D23" s="12">
        <f t="shared" ref="D23:I23" si="9">+D12/56</f>
        <v>133928.57142857142</v>
      </c>
      <c r="E23" s="12">
        <f t="shared" si="9"/>
        <v>133928.57142857142</v>
      </c>
      <c r="F23" s="12">
        <f t="shared" si="9"/>
        <v>142857.14285714287</v>
      </c>
      <c r="G23" s="12">
        <f t="shared" si="9"/>
        <v>142857.14285714287</v>
      </c>
      <c r="H23" s="12">
        <f t="shared" si="9"/>
        <v>142857.14285714287</v>
      </c>
      <c r="I23" s="12">
        <f t="shared" si="9"/>
        <v>142857.14285714287</v>
      </c>
      <c r="J23" s="12">
        <f>10077000/56</f>
        <v>179946.42857142858</v>
      </c>
      <c r="K23" s="12">
        <f>179946+35000/58</f>
        <v>180549.44827586206</v>
      </c>
      <c r="L23" s="12">
        <f>+L12/55.8</f>
        <v>189175.62724014337</v>
      </c>
      <c r="M23" s="12">
        <f t="shared" ref="M23:O24" si="10">+M12/58.5</f>
        <v>180641.02564102566</v>
      </c>
      <c r="N23" s="12">
        <f t="shared" si="10"/>
        <v>180726.49572649572</v>
      </c>
      <c r="O23" s="12">
        <f t="shared" si="10"/>
        <v>180811.96581196581</v>
      </c>
      <c r="P23" s="12">
        <f t="shared" ref="P23:S24" si="11">+P12/58.75</f>
        <v>181234.04255319148</v>
      </c>
      <c r="Q23" s="12">
        <f t="shared" si="11"/>
        <v>181319.14893617021</v>
      </c>
      <c r="R23" s="12">
        <f t="shared" si="11"/>
        <v>181455.31914893616</v>
      </c>
      <c r="S23" s="12">
        <f t="shared" si="11"/>
        <v>181795.74468085106</v>
      </c>
      <c r="T23" s="12">
        <f t="shared" si="7"/>
        <v>182841.66666666666</v>
      </c>
      <c r="U23" s="12">
        <f t="shared" si="7"/>
        <v>182841.66666666666</v>
      </c>
      <c r="V23" s="12">
        <f t="shared" si="8"/>
        <v>176943.54838709679</v>
      </c>
      <c r="W23" s="12">
        <f t="shared" si="8"/>
        <v>176943.54838709679</v>
      </c>
      <c r="X23" s="12">
        <f t="shared" si="8"/>
        <v>177419.35483870967</v>
      </c>
      <c r="Y23" s="12">
        <f t="shared" si="8"/>
        <v>177419.35483870967</v>
      </c>
      <c r="Z23" s="12">
        <f>+Z12/62</f>
        <v>177419.35483870967</v>
      </c>
      <c r="AB23" s="81">
        <f>+AB21/AB17</f>
        <v>-0.12558823529411764</v>
      </c>
      <c r="AC23" s="82">
        <f>+AC21/AB17</f>
        <v>0.81558823529411761</v>
      </c>
    </row>
    <row r="24" spans="1:29">
      <c r="B24" s="14" t="s">
        <v>803</v>
      </c>
      <c r="C24" s="12"/>
      <c r="D24" s="12">
        <v>700000</v>
      </c>
      <c r="E24" s="12">
        <f>+V46</f>
        <v>0</v>
      </c>
      <c r="F24" s="12">
        <v>6349920</v>
      </c>
      <c r="G24" s="12">
        <f>6000000+9000+304920+24000+12000+236000+200000</f>
        <v>6785920</v>
      </c>
      <c r="H24" s="12">
        <f>6785920 + 180000</f>
        <v>6965920</v>
      </c>
      <c r="I24" s="12">
        <f>6965920 + 70000</f>
        <v>7035920</v>
      </c>
      <c r="J24" s="12">
        <f>7040000/56</f>
        <v>125714.28571428571</v>
      </c>
      <c r="K24" s="12">
        <f>125714.29+35000/58</f>
        <v>126317.73827586207</v>
      </c>
      <c r="L24" s="12">
        <f>+L13/58.5</f>
        <v>127000</v>
      </c>
      <c r="M24" s="12">
        <f t="shared" si="10"/>
        <v>134341.88034188034</v>
      </c>
      <c r="N24" s="12">
        <f t="shared" si="10"/>
        <v>134700.85470085469</v>
      </c>
      <c r="O24" s="12">
        <f t="shared" si="10"/>
        <v>135470.08547008547</v>
      </c>
      <c r="P24" s="12">
        <f t="shared" si="11"/>
        <v>134893.61702127659</v>
      </c>
      <c r="Q24" s="12">
        <f t="shared" si="11"/>
        <v>136221.27659574468</v>
      </c>
      <c r="R24" s="12">
        <f t="shared" si="11"/>
        <v>138025.53191489363</v>
      </c>
      <c r="S24" s="12">
        <f t="shared" si="11"/>
        <v>139829.78723404257</v>
      </c>
      <c r="T24" s="12">
        <f t="shared" si="7"/>
        <v>139125</v>
      </c>
      <c r="U24" s="12">
        <f t="shared" si="7"/>
        <v>99100</v>
      </c>
      <c r="V24" s="12">
        <f>+V13/62</f>
        <v>95903.225806451606</v>
      </c>
      <c r="W24" s="12">
        <f>+W13/62</f>
        <v>68064.516129032258</v>
      </c>
      <c r="X24" s="12">
        <f>+X13/62</f>
        <v>68064.516129032258</v>
      </c>
      <c r="Y24" s="12">
        <f t="shared" ref="Y24:Z28" si="12">+Y13/62</f>
        <v>68064.516129032258</v>
      </c>
      <c r="Z24" s="12">
        <f t="shared" si="12"/>
        <v>68064.516129032258</v>
      </c>
    </row>
    <row r="25" spans="1:29">
      <c r="B25" s="14" t="s">
        <v>808</v>
      </c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>
        <f t="shared" ref="W25:X28" si="13">+W14/62</f>
        <v>26748.387096774193</v>
      </c>
      <c r="X25" s="12">
        <f t="shared" si="13"/>
        <v>26748.387096774193</v>
      </c>
      <c r="Y25" s="12">
        <f t="shared" si="12"/>
        <v>26748.387096774193</v>
      </c>
      <c r="Z25" s="12">
        <f t="shared" si="12"/>
        <v>26748.387096774193</v>
      </c>
    </row>
    <row r="26" spans="1:29">
      <c r="B26" s="14" t="s">
        <v>806</v>
      </c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>
        <f>+U15/60</f>
        <v>49000</v>
      </c>
      <c r="V26" s="12">
        <f>+V15/62</f>
        <v>47419.354838709674</v>
      </c>
      <c r="W26" s="12">
        <f t="shared" si="13"/>
        <v>47419.354838709674</v>
      </c>
      <c r="X26" s="12">
        <f t="shared" si="13"/>
        <v>49790.322580645159</v>
      </c>
      <c r="Y26" s="12">
        <f t="shared" si="12"/>
        <v>49790.322580645159</v>
      </c>
      <c r="Z26" s="12">
        <f t="shared" si="12"/>
        <v>49790.322580645159</v>
      </c>
    </row>
    <row r="27" spans="1:29">
      <c r="B27" s="14" t="s">
        <v>290</v>
      </c>
      <c r="C27" s="12"/>
      <c r="D27" s="12"/>
      <c r="E27" s="12"/>
      <c r="F27" s="12"/>
      <c r="G27" s="12"/>
      <c r="H27" s="12"/>
      <c r="I27" s="12">
        <f>4755+4755</f>
        <v>9510</v>
      </c>
      <c r="J27" s="12">
        <v>473.392857142857</v>
      </c>
      <c r="K27" s="12">
        <v>473.392857142857</v>
      </c>
      <c r="L27" s="12">
        <f>+L16/58.5</f>
        <v>554.80341880341882</v>
      </c>
      <c r="M27" s="12">
        <f>+M16/58.5</f>
        <v>564.10256410256409</v>
      </c>
      <c r="N27" s="12">
        <f>+N16/58.5</f>
        <v>564.10256410256409</v>
      </c>
      <c r="O27" s="12">
        <f>+O16/58.5</f>
        <v>960.68376068376074</v>
      </c>
      <c r="P27" s="12">
        <f t="shared" ref="P27:S28" si="14">+P16/58.75</f>
        <v>3122.5872340425531</v>
      </c>
      <c r="Q27" s="12">
        <f t="shared" si="14"/>
        <v>3800.5446808510637</v>
      </c>
      <c r="R27" s="12">
        <f t="shared" si="14"/>
        <v>4733.8212765957451</v>
      </c>
      <c r="S27" s="12">
        <f t="shared" si="14"/>
        <v>4733.8212765957451</v>
      </c>
      <c r="T27" s="12">
        <f>+T16/60</f>
        <v>7091.3666666666668</v>
      </c>
      <c r="U27" s="12">
        <f>+U16/60</f>
        <v>8641.3666666666668</v>
      </c>
      <c r="V27" s="12">
        <f>+V16/62</f>
        <v>8872.2903225806458</v>
      </c>
      <c r="W27" s="12">
        <f t="shared" si="13"/>
        <v>9416.1612903225814</v>
      </c>
      <c r="X27" s="12">
        <f t="shared" si="13"/>
        <v>9416.1612903225814</v>
      </c>
      <c r="Y27" s="12">
        <f t="shared" si="12"/>
        <v>6129.0322580645161</v>
      </c>
      <c r="Z27" s="12">
        <f t="shared" si="12"/>
        <v>6129.0322580645161</v>
      </c>
    </row>
    <row r="28" spans="1:29">
      <c r="B28" s="14" t="s">
        <v>291</v>
      </c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>
        <f>+M17/58.5</f>
        <v>100478.63247863248</v>
      </c>
      <c r="N28" s="12">
        <f>+N17/58.5</f>
        <v>105230.76923076923</v>
      </c>
      <c r="O28" s="12">
        <f>+O17/58.5</f>
        <v>108000</v>
      </c>
      <c r="P28" s="12">
        <f t="shared" si="14"/>
        <v>108229.78723404255</v>
      </c>
      <c r="Q28" s="12">
        <f t="shared" si="14"/>
        <v>108255.31914893616</v>
      </c>
      <c r="R28" s="12">
        <f t="shared" si="14"/>
        <v>109617.02127659574</v>
      </c>
      <c r="S28" s="12">
        <f t="shared" si="14"/>
        <v>110297.87234042553</v>
      </c>
      <c r="T28" s="12">
        <f>+T17/60</f>
        <v>110666.66666666667</v>
      </c>
      <c r="U28" s="12">
        <f>+U17/60</f>
        <v>125333.33333333333</v>
      </c>
      <c r="V28" s="12">
        <f>+V17/62</f>
        <v>123870.96774193548</v>
      </c>
      <c r="W28" s="12">
        <f t="shared" si="13"/>
        <v>125161.29032258065</v>
      </c>
      <c r="X28" s="12">
        <f t="shared" si="13"/>
        <v>125161.29032258065</v>
      </c>
      <c r="Y28" s="12">
        <f t="shared" si="12"/>
        <v>110527.06451612903</v>
      </c>
      <c r="Z28" s="12">
        <f t="shared" si="12"/>
        <v>93098.645161290318</v>
      </c>
      <c r="AB28">
        <v>5600000</v>
      </c>
    </row>
    <row r="29" spans="1:29">
      <c r="B29" s="14" t="s">
        <v>805</v>
      </c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35">
        <f>+Y18/62</f>
        <v>28580.645161290322</v>
      </c>
      <c r="Z29" s="135">
        <f>+Z18/62</f>
        <v>28580.645161290322</v>
      </c>
    </row>
    <row r="30" spans="1:29">
      <c r="B30" s="14" t="s">
        <v>827</v>
      </c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35"/>
      <c r="Z30" s="135">
        <f>+Z19/62</f>
        <v>18096.774193548386</v>
      </c>
    </row>
    <row r="31" spans="1:29">
      <c r="B31" s="14" t="s">
        <v>293</v>
      </c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 t="e">
        <f>+#REF!/58.75</f>
        <v>#REF!</v>
      </c>
      <c r="Q31" s="12" t="e">
        <f>+#REF!/58.75</f>
        <v>#REF!</v>
      </c>
      <c r="R31" s="12" t="e">
        <f>+#REF!/58.75</f>
        <v>#REF!</v>
      </c>
      <c r="S31" s="12" t="e">
        <f>+#REF!/58.75</f>
        <v>#REF!</v>
      </c>
      <c r="T31" s="12" t="e">
        <f>+#REF!/58.75</f>
        <v>#REF!</v>
      </c>
      <c r="U31" s="12">
        <f t="shared" ref="U31:Z31" si="15">+U20/61</f>
        <v>9016.3934426229516</v>
      </c>
      <c r="V31" s="12">
        <f t="shared" si="15"/>
        <v>9245.9016393442616</v>
      </c>
      <c r="W31" s="12">
        <f t="shared" si="15"/>
        <v>8934.4262295081971</v>
      </c>
      <c r="X31" s="12">
        <f t="shared" si="15"/>
        <v>8360.6557377049176</v>
      </c>
      <c r="Y31" s="12">
        <f t="shared" si="15"/>
        <v>8549.1803278688531</v>
      </c>
      <c r="Z31" s="12">
        <f t="shared" si="15"/>
        <v>8549.1803278688531</v>
      </c>
      <c r="AB31" s="82" t="e">
        <f>+AB28+#REF!</f>
        <v>#REF!</v>
      </c>
    </row>
    <row r="32" spans="1:29">
      <c r="B32" s="14" t="s">
        <v>137</v>
      </c>
      <c r="C32" s="12">
        <v>-102000</v>
      </c>
      <c r="D32" s="12">
        <v>-148000</v>
      </c>
      <c r="E32" s="12">
        <v>-118000</v>
      </c>
      <c r="F32" s="12">
        <v>-100000</v>
      </c>
      <c r="G32" s="12">
        <v>-177000</v>
      </c>
      <c r="H32" s="12">
        <v>-118000</v>
      </c>
      <c r="I32" s="12">
        <v>-95000</v>
      </c>
      <c r="J32" s="12">
        <v>-95000</v>
      </c>
      <c r="K32" s="12">
        <v>-111000</v>
      </c>
      <c r="L32" s="12">
        <v>-221000</v>
      </c>
      <c r="M32" s="12">
        <v>-221000</v>
      </c>
      <c r="N32" s="12">
        <v>-221000</v>
      </c>
      <c r="O32" s="12">
        <v>-221000</v>
      </c>
      <c r="P32" s="12">
        <v>-221000</v>
      </c>
      <c r="Q32" s="12">
        <v>-221000</v>
      </c>
      <c r="R32" s="12">
        <v>-221000</v>
      </c>
      <c r="S32" s="12">
        <v>-221000</v>
      </c>
      <c r="T32" s="12">
        <v>-221000</v>
      </c>
      <c r="U32" s="12">
        <v>-221000</v>
      </c>
      <c r="V32" s="12">
        <v>-221000</v>
      </c>
      <c r="W32" s="12">
        <v>-221000</v>
      </c>
      <c r="X32" s="12">
        <v>-221000</v>
      </c>
      <c r="Y32" s="12">
        <v>-221000</v>
      </c>
      <c r="Z32" s="12">
        <v>-221000</v>
      </c>
      <c r="AB32" s="11">
        <f>+U17</f>
        <v>7520000</v>
      </c>
      <c r="AC32" s="74">
        <f>+Y57</f>
        <v>19706610</v>
      </c>
    </row>
    <row r="33" spans="2:31">
      <c r="B33" s="14" t="s">
        <v>298</v>
      </c>
      <c r="C33" s="12"/>
      <c r="D33" s="12">
        <f>SUM(D3:D32)</f>
        <v>8824766.9464285709</v>
      </c>
      <c r="E33" s="12">
        <f>SUM(E10:E32)</f>
        <v>10470678.821428571</v>
      </c>
      <c r="F33" s="12">
        <f>SUM(F10:F24)</f>
        <v>17088721.142857142</v>
      </c>
      <c r="G33" s="12">
        <f>SUM(G10:G24)</f>
        <v>16982835.542857144</v>
      </c>
      <c r="H33" s="12">
        <f>SUM(H10:H24)</f>
        <v>16977981.942857146</v>
      </c>
      <c r="I33" s="12">
        <f>SUM(I10:I27)</f>
        <v>16985548.942857146</v>
      </c>
      <c r="J33" s="12" t="e">
        <f>+J21+J23+J24+J27+#REF!</f>
        <v>#REF!</v>
      </c>
      <c r="K33" s="12" t="e">
        <f>+K21+K23+K24+K27+#REF!</f>
        <v>#REF!</v>
      </c>
      <c r="L33" s="12" t="e">
        <f>+L21+L23+L24+L27+#REF!</f>
        <v>#REF!</v>
      </c>
      <c r="M33" s="12">
        <f t="shared" ref="M33:T33" si="16">+M21+M23+M24+M27+M28+M31+M22</f>
        <v>493358.78996181127</v>
      </c>
      <c r="N33" s="12" t="e">
        <f t="shared" si="16"/>
        <v>#REF!</v>
      </c>
      <c r="O33" s="12" t="e">
        <f t="shared" si="16"/>
        <v>#REF!</v>
      </c>
      <c r="P33" s="12" t="e">
        <f t="shared" si="16"/>
        <v>#REF!</v>
      </c>
      <c r="Q33" s="12" t="e">
        <f t="shared" si="16"/>
        <v>#REF!</v>
      </c>
      <c r="R33" s="12" t="e">
        <f t="shared" si="16"/>
        <v>#REF!</v>
      </c>
      <c r="S33" s="12" t="e">
        <f t="shared" si="16"/>
        <v>#REF!</v>
      </c>
      <c r="T33" s="12" t="e">
        <f t="shared" si="16"/>
        <v>#REF!</v>
      </c>
      <c r="U33" s="12">
        <f t="shared" ref="U33:Z33" si="17">SUM(U21:U31)</f>
        <v>496099.42677595624</v>
      </c>
      <c r="V33" s="12">
        <f t="shared" si="17"/>
        <v>481022.67583289265</v>
      </c>
      <c r="W33" s="12">
        <f t="shared" si="17"/>
        <v>482081.7488101534</v>
      </c>
      <c r="X33" s="12">
        <f t="shared" si="17"/>
        <v>483446.39767318883</v>
      </c>
      <c r="Y33" s="12">
        <f t="shared" si="17"/>
        <v>495962.24484399788</v>
      </c>
      <c r="Z33" s="12">
        <f t="shared" si="17"/>
        <v>513153.55129561073</v>
      </c>
      <c r="AB33" s="82" t="e">
        <f>+AB32-AB31</f>
        <v>#REF!</v>
      </c>
      <c r="AC33" s="82" t="e">
        <f>+AC32-AB31</f>
        <v>#REF!</v>
      </c>
    </row>
    <row r="34" spans="2:31">
      <c r="B34" s="14" t="s">
        <v>299</v>
      </c>
      <c r="C34" s="12"/>
      <c r="D34" s="12"/>
      <c r="E34" s="12"/>
      <c r="F34" s="12"/>
      <c r="G34" s="12"/>
      <c r="H34" s="12"/>
      <c r="I34" s="12"/>
      <c r="J34" s="12"/>
      <c r="K34" s="12"/>
      <c r="L34" s="61" t="e">
        <f>+L33*58</f>
        <v>#REF!</v>
      </c>
      <c r="M34" s="12">
        <f>+M33*58</f>
        <v>28614809.817785054</v>
      </c>
      <c r="N34" s="12" t="e">
        <f>+N33*58</f>
        <v>#REF!</v>
      </c>
      <c r="O34" s="12" t="e">
        <f>+O33*58</f>
        <v>#REF!</v>
      </c>
      <c r="P34" s="12" t="e">
        <f>+P33*58.75</f>
        <v>#REF!</v>
      </c>
      <c r="Q34" s="12" t="e">
        <f>+Q33*58.75</f>
        <v>#REF!</v>
      </c>
      <c r="R34" s="12" t="e">
        <f>+R33*58.75</f>
        <v>#REF!</v>
      </c>
      <c r="S34" s="12" t="e">
        <f>+S33*58.75</f>
        <v>#REF!</v>
      </c>
      <c r="T34" s="12" t="e">
        <f t="shared" ref="T34:Y34" si="18">+T33*60</f>
        <v>#REF!</v>
      </c>
      <c r="U34" s="12">
        <f t="shared" si="18"/>
        <v>29765965.606557373</v>
      </c>
      <c r="V34" s="12">
        <f t="shared" si="18"/>
        <v>28861360.549973559</v>
      </c>
      <c r="W34" s="12">
        <f t="shared" si="18"/>
        <v>28924904.928609204</v>
      </c>
      <c r="X34" s="12">
        <f t="shared" si="18"/>
        <v>29006783.86039133</v>
      </c>
      <c r="Y34" s="12">
        <f t="shared" si="18"/>
        <v>29757734.690639872</v>
      </c>
      <c r="Z34" s="12">
        <f>+Z33*60</f>
        <v>30789213.077736642</v>
      </c>
      <c r="AB34" s="82" t="e">
        <f>+AB33/AB31</f>
        <v>#REF!</v>
      </c>
      <c r="AC34" s="82" t="e">
        <f>+AC33/AB31</f>
        <v>#REF!</v>
      </c>
    </row>
    <row r="35" spans="2:31">
      <c r="B35" s="14" t="s">
        <v>300</v>
      </c>
      <c r="C35" s="12"/>
      <c r="D35" s="22">
        <f>+E33-D33</f>
        <v>1645911.875</v>
      </c>
      <c r="E35" s="12">
        <f>+E33-D33</f>
        <v>1645911.875</v>
      </c>
      <c r="F35" s="12">
        <f>+F33-E33</f>
        <v>6618042.3214285709</v>
      </c>
      <c r="G35" s="12">
        <f>+G33-F33</f>
        <v>-105885.59999999776</v>
      </c>
      <c r="H35" s="12">
        <f>(+H33-G33)/56</f>
        <v>-86.67142857138866</v>
      </c>
      <c r="I35" s="12">
        <f>(+I33-H33)/56</f>
        <v>135.125</v>
      </c>
      <c r="J35" s="12"/>
      <c r="K35" s="12" t="e">
        <f>+K33-J33</f>
        <v>#REF!</v>
      </c>
      <c r="L35" s="12" t="e">
        <f>+L33-K33</f>
        <v>#REF!</v>
      </c>
      <c r="M35" s="12"/>
      <c r="N35" s="12" t="e">
        <f t="shared" ref="N35:T35" si="19">+N33-M33</f>
        <v>#REF!</v>
      </c>
      <c r="O35" s="12" t="e">
        <f t="shared" si="19"/>
        <v>#REF!</v>
      </c>
      <c r="P35" s="12" t="e">
        <f t="shared" si="19"/>
        <v>#REF!</v>
      </c>
      <c r="Q35" s="12" t="e">
        <f t="shared" si="19"/>
        <v>#REF!</v>
      </c>
      <c r="R35" s="12" t="e">
        <f t="shared" si="19"/>
        <v>#REF!</v>
      </c>
      <c r="S35" s="12" t="e">
        <f t="shared" si="19"/>
        <v>#REF!</v>
      </c>
      <c r="T35" s="12" t="e">
        <f t="shared" si="19"/>
        <v>#REF!</v>
      </c>
      <c r="U35" s="12">
        <f>+U33-W33</f>
        <v>14017.677965802839</v>
      </c>
      <c r="V35" s="12">
        <f>+V33-U33</f>
        <v>-15076.750943063584</v>
      </c>
      <c r="W35" s="12">
        <f>+W33-V33</f>
        <v>1059.0729772607447</v>
      </c>
      <c r="X35" s="12">
        <f>+X33-W33</f>
        <v>1364.6488630354288</v>
      </c>
      <c r="Y35" s="12">
        <f>+Y33-X33</f>
        <v>12515.847170809051</v>
      </c>
      <c r="Z35" s="12">
        <f>+Z33-Y33</f>
        <v>17191.306451612851</v>
      </c>
    </row>
    <row r="36" spans="2:31">
      <c r="B36" s="14" t="s">
        <v>301</v>
      </c>
      <c r="C36" s="12"/>
      <c r="D36" s="22"/>
      <c r="E36" s="12"/>
      <c r="F36" s="12"/>
      <c r="G36" s="14"/>
      <c r="H36" s="12">
        <f>+H33/56</f>
        <v>303178.24897959188</v>
      </c>
      <c r="I36" s="12">
        <f>+I33/56</f>
        <v>303313.37397959188</v>
      </c>
      <c r="J36" s="12"/>
      <c r="K36" s="12" t="e">
        <f>+K35*58</f>
        <v>#REF!</v>
      </c>
      <c r="L36" s="12" t="e">
        <f>+L35*58</f>
        <v>#REF!</v>
      </c>
      <c r="M36" s="12"/>
      <c r="N36" s="12" t="e">
        <f t="shared" ref="N36:T36" si="20">+N35*58</f>
        <v>#REF!</v>
      </c>
      <c r="O36" s="12" t="e">
        <f t="shared" si="20"/>
        <v>#REF!</v>
      </c>
      <c r="P36" s="12" t="e">
        <f t="shared" si="20"/>
        <v>#REF!</v>
      </c>
      <c r="Q36" s="12" t="e">
        <f t="shared" si="20"/>
        <v>#REF!</v>
      </c>
      <c r="R36" s="12" t="e">
        <f t="shared" si="20"/>
        <v>#REF!</v>
      </c>
      <c r="S36" s="12" t="e">
        <f t="shared" si="20"/>
        <v>#REF!</v>
      </c>
      <c r="T36" s="12" t="e">
        <f t="shared" si="20"/>
        <v>#REF!</v>
      </c>
      <c r="U36" s="12">
        <f t="shared" ref="U36:Z36" si="21">+U35*60</f>
        <v>841060.67794817034</v>
      </c>
      <c r="V36" s="12">
        <f t="shared" si="21"/>
        <v>-904605.05658381502</v>
      </c>
      <c r="W36" s="12">
        <f t="shared" si="21"/>
        <v>63544.37863564468</v>
      </c>
      <c r="X36" s="12">
        <f t="shared" si="21"/>
        <v>81878.931782125728</v>
      </c>
      <c r="Y36" s="12">
        <f t="shared" si="21"/>
        <v>750950.83024854306</v>
      </c>
      <c r="Z36" s="12">
        <f t="shared" si="21"/>
        <v>1031478.387096771</v>
      </c>
    </row>
    <row r="38" spans="2:31">
      <c r="Z38" t="s">
        <v>781</v>
      </c>
      <c r="AB38">
        <f>+V33*60</f>
        <v>28861360.549973559</v>
      </c>
    </row>
    <row r="39" spans="2:31">
      <c r="Z39" t="s">
        <v>782</v>
      </c>
    </row>
    <row r="43" spans="2:31">
      <c r="V43" s="2"/>
      <c r="W43" s="11"/>
      <c r="X43" s="2"/>
      <c r="Y43" s="2"/>
    </row>
    <row r="44" spans="2:31">
      <c r="V44" s="2"/>
      <c r="W44" s="11"/>
      <c r="X44" s="2"/>
      <c r="Y44" s="2"/>
    </row>
    <row r="45" spans="2:31">
      <c r="V45" s="2"/>
      <c r="W45" s="11"/>
      <c r="X45" s="2"/>
      <c r="Y45" s="2"/>
    </row>
    <row r="46" spans="2:31" ht="18.5">
      <c r="U46" s="191" t="s">
        <v>87</v>
      </c>
      <c r="V46" s="192"/>
      <c r="W46" s="192"/>
      <c r="X46" s="192"/>
      <c r="Y46" s="192"/>
      <c r="Z46" s="192"/>
      <c r="AA46" s="192"/>
      <c r="AB46" s="192"/>
      <c r="AC46" s="192"/>
      <c r="AD46" s="199"/>
      <c r="AE46" s="87"/>
    </row>
    <row r="47" spans="2:31" ht="15.5">
      <c r="U47" s="62"/>
      <c r="V47" s="62"/>
      <c r="W47" s="62"/>
      <c r="X47" s="63" t="s">
        <v>302</v>
      </c>
      <c r="Y47" s="64">
        <v>0.14000000000000001</v>
      </c>
      <c r="Z47" s="62"/>
      <c r="AA47" s="62"/>
      <c r="AB47" s="65" t="s">
        <v>303</v>
      </c>
      <c r="AC47" s="66"/>
      <c r="AD47" s="66"/>
      <c r="AE47" s="62"/>
    </row>
    <row r="48" spans="2:31" ht="44" customHeight="1">
      <c r="U48" s="67"/>
      <c r="V48" s="68" t="s">
        <v>304</v>
      </c>
      <c r="W48" s="68" t="s">
        <v>305</v>
      </c>
      <c r="X48" s="68" t="s">
        <v>306</v>
      </c>
      <c r="Y48" s="69" t="s">
        <v>307</v>
      </c>
      <c r="Z48" s="69" t="s">
        <v>308</v>
      </c>
      <c r="AA48" s="70" t="s">
        <v>309</v>
      </c>
      <c r="AB48" s="69" t="s">
        <v>310</v>
      </c>
      <c r="AC48" s="68">
        <v>60</v>
      </c>
      <c r="AD48" s="68">
        <v>72</v>
      </c>
      <c r="AE48" s="68">
        <v>120</v>
      </c>
    </row>
    <row r="49" spans="21:31" ht="17.5">
      <c r="U49" s="71">
        <v>1</v>
      </c>
      <c r="V49" s="72">
        <v>1111</v>
      </c>
      <c r="W49" s="72">
        <f>45*60</f>
        <v>2700</v>
      </c>
      <c r="X49" s="72"/>
      <c r="Y49" s="72">
        <f>+V49*W49*0.95</f>
        <v>2849715</v>
      </c>
      <c r="Z49" s="72">
        <f t="shared" ref="Z49:Z56" si="22">+Y49*0.2</f>
        <v>569943</v>
      </c>
      <c r="AA49" s="72">
        <f t="shared" ref="AA49:AA56" si="23">+Z49/4</f>
        <v>142485.75</v>
      </c>
      <c r="AB49" s="72">
        <f t="shared" ref="AB49:AB56" si="24">+Y49-Z49</f>
        <v>2279772</v>
      </c>
      <c r="AC49" s="73">
        <f>PMT(+Y47/12, +AC48, -AB49)</f>
        <v>53046.306775410289</v>
      </c>
      <c r="AD49" s="73">
        <f>PMT(+Y47/12, +AD48, -AB49)</f>
        <v>46976.38791120633</v>
      </c>
      <c r="AE49" s="73">
        <f>PMT(+Y47/12, +AE48, -AB49)</f>
        <v>35397.207114609562</v>
      </c>
    </row>
    <row r="50" spans="21:31" ht="17.5">
      <c r="U50" s="71">
        <v>2</v>
      </c>
      <c r="V50" s="72">
        <v>1207</v>
      </c>
      <c r="W50" s="72">
        <f>45*60</f>
        <v>2700</v>
      </c>
      <c r="X50" s="72"/>
      <c r="Y50" s="72">
        <f t="shared" ref="Y50:Y56" si="25">+V50*W50*0.95</f>
        <v>3095955</v>
      </c>
      <c r="Z50" s="72">
        <f t="shared" si="22"/>
        <v>619191</v>
      </c>
      <c r="AA50" s="72">
        <f t="shared" si="23"/>
        <v>154797.75</v>
      </c>
      <c r="AB50" s="72">
        <f t="shared" si="24"/>
        <v>2476764</v>
      </c>
      <c r="AC50" s="73">
        <f>PMT(+Y47/12, +AC48, -AB50)</f>
        <v>57629.966046732872</v>
      </c>
      <c r="AD50" s="73">
        <f>PMT(+Y47/12, +AD48, -AB50)</f>
        <v>51035.553743317774</v>
      </c>
      <c r="AE50" s="73">
        <f>PMT(+Y47/12, +AE48, -AB50)</f>
        <v>38455.831671767548</v>
      </c>
    </row>
    <row r="51" spans="21:31" ht="17.5">
      <c r="U51" s="71">
        <v>3</v>
      </c>
      <c r="V51" s="72">
        <v>1106</v>
      </c>
      <c r="W51" s="72">
        <f>45*60</f>
        <v>2700</v>
      </c>
      <c r="X51" s="72"/>
      <c r="Y51" s="72">
        <f t="shared" si="25"/>
        <v>2836890</v>
      </c>
      <c r="Z51" s="72">
        <f t="shared" si="22"/>
        <v>567378</v>
      </c>
      <c r="AA51" s="72">
        <f t="shared" si="23"/>
        <v>141844.5</v>
      </c>
      <c r="AB51" s="72">
        <f t="shared" si="24"/>
        <v>2269512</v>
      </c>
      <c r="AC51" s="73">
        <f>PMT(+Y47/12, +AC48, -AB51)</f>
        <v>52807.574521695577</v>
      </c>
      <c r="AD51" s="73">
        <f>PMT(+Y47/12, +AD48, -AB51)</f>
        <v>46764.973024117193</v>
      </c>
      <c r="AE51" s="73">
        <f>PMT(+Y47/12, +AE48, -AB51)</f>
        <v>35237.903752257582</v>
      </c>
    </row>
    <row r="52" spans="21:31" ht="17.5">
      <c r="U52" s="71">
        <v>4</v>
      </c>
      <c r="V52" s="72">
        <v>986</v>
      </c>
      <c r="W52" s="72">
        <f>45*60</f>
        <v>2700</v>
      </c>
      <c r="X52" s="72"/>
      <c r="Y52" s="72">
        <f t="shared" si="25"/>
        <v>2529090</v>
      </c>
      <c r="Z52" s="72">
        <f t="shared" si="22"/>
        <v>505818</v>
      </c>
      <c r="AA52" s="72">
        <f t="shared" si="23"/>
        <v>126454.5</v>
      </c>
      <c r="AB52" s="72">
        <f t="shared" si="24"/>
        <v>2023272</v>
      </c>
      <c r="AC52" s="73">
        <f>PMT(+Y47/12, +AC48, -AB52)</f>
        <v>47078.000432542343</v>
      </c>
      <c r="AD52" s="73">
        <f>PMT(+Y47/12, +AD48, -AB52)</f>
        <v>41691.015733977896</v>
      </c>
      <c r="AE52" s="73">
        <f>PMT(+Y47/12, +AE48, -AB52)</f>
        <v>31414.623055810109</v>
      </c>
    </row>
    <row r="53" spans="21:31" ht="17.5">
      <c r="U53" s="71">
        <v>5</v>
      </c>
      <c r="V53" s="72">
        <v>729</v>
      </c>
      <c r="W53" s="72">
        <f>40*60</f>
        <v>2400</v>
      </c>
      <c r="X53" s="72"/>
      <c r="Y53" s="72">
        <f t="shared" si="25"/>
        <v>1662120</v>
      </c>
      <c r="Z53" s="72">
        <f t="shared" si="22"/>
        <v>332424</v>
      </c>
      <c r="AA53" s="72">
        <f t="shared" si="23"/>
        <v>83106</v>
      </c>
      <c r="AB53" s="72">
        <f t="shared" si="24"/>
        <v>1329696</v>
      </c>
      <c r="AC53" s="73">
        <f>PMT(+Y47/12, +AC48, -AB53)</f>
        <v>30939.700081427422</v>
      </c>
      <c r="AD53" s="73">
        <f>PMT(+Y47/12, +AD48, -AB53)</f>
        <v>27399.369366752206</v>
      </c>
      <c r="AE53" s="73">
        <f>PMT(+Y47/12, +AE48, -AB53)</f>
        <v>20645.71576081638</v>
      </c>
    </row>
    <row r="54" spans="21:31" ht="17.5">
      <c r="U54" s="71">
        <v>6</v>
      </c>
      <c r="V54" s="72">
        <v>878</v>
      </c>
      <c r="W54" s="72">
        <v>2400</v>
      </c>
      <c r="X54" s="72"/>
      <c r="Y54" s="72">
        <f t="shared" si="25"/>
        <v>2001840</v>
      </c>
      <c r="Z54" s="72">
        <f t="shared" si="22"/>
        <v>400368</v>
      </c>
      <c r="AA54" s="72">
        <f t="shared" si="23"/>
        <v>100092</v>
      </c>
      <c r="AB54" s="72">
        <f t="shared" si="24"/>
        <v>1601472</v>
      </c>
      <c r="AC54" s="73">
        <f>PMT(+Y47/12, +AC48, -AB54)</f>
        <v>37263.452224270608</v>
      </c>
      <c r="AD54" s="73">
        <f>PMT(+Y47/12, +AD48, -AB54)</f>
        <v>32999.514820313358</v>
      </c>
      <c r="AE54" s="73">
        <f>PMT(+Y47/12, +AE48, -AB54)</f>
        <v>24865.484825784333</v>
      </c>
    </row>
    <row r="55" spans="21:31" ht="17.5">
      <c r="U55" s="71">
        <v>7</v>
      </c>
      <c r="V55" s="72">
        <v>964</v>
      </c>
      <c r="W55" s="72">
        <v>2400</v>
      </c>
      <c r="X55" s="72"/>
      <c r="Y55" s="72">
        <f t="shared" si="25"/>
        <v>2197920</v>
      </c>
      <c r="Z55" s="72">
        <f t="shared" si="22"/>
        <v>439584</v>
      </c>
      <c r="AA55" s="72">
        <f t="shared" si="23"/>
        <v>109896</v>
      </c>
      <c r="AB55" s="72">
        <f t="shared" si="24"/>
        <v>1758336</v>
      </c>
      <c r="AC55" s="73">
        <f>PMT(+Y47/12, +AC48, -AB55)</f>
        <v>40913.403125508965</v>
      </c>
      <c r="AD55" s="73">
        <f>PMT(+Y47/12, +AD48, -AB55)</f>
        <v>36231.81353847617</v>
      </c>
      <c r="AE55" s="73">
        <f>PMT(+Y47/12, +AE48, -AB55)</f>
        <v>27301.056232410134</v>
      </c>
    </row>
    <row r="56" spans="21:31" ht="17.5">
      <c r="U56" s="71">
        <v>8</v>
      </c>
      <c r="V56" s="72">
        <v>1111</v>
      </c>
      <c r="W56" s="72">
        <v>2400</v>
      </c>
      <c r="X56" s="72"/>
      <c r="Y56" s="72">
        <f t="shared" si="25"/>
        <v>2533080</v>
      </c>
      <c r="Z56" s="72">
        <f t="shared" si="22"/>
        <v>506616</v>
      </c>
      <c r="AA56" s="72">
        <f t="shared" si="23"/>
        <v>126654</v>
      </c>
      <c r="AB56" s="72">
        <f t="shared" si="24"/>
        <v>2026464</v>
      </c>
      <c r="AC56" s="73">
        <f>PMT(+Y47/12, +AC48, -AB56)</f>
        <v>47152.272689253594</v>
      </c>
      <c r="AD56" s="73">
        <f>PMT(+Y47/12, +AD48, -AB56)</f>
        <v>41756.789254405623</v>
      </c>
      <c r="AE56" s="73">
        <f>PMT(+Y47/12, +AE48, -AB56)</f>
        <v>31464.184101875169</v>
      </c>
    </row>
    <row r="57" spans="21:31" ht="15.5">
      <c r="X57" t="s">
        <v>558</v>
      </c>
      <c r="Y57" s="74">
        <f>SUM(Y49:Y56)</f>
        <v>19706610</v>
      </c>
      <c r="Z57" s="74">
        <f>SUM(Z49:Z56)</f>
        <v>3941322</v>
      </c>
      <c r="AA57" s="75">
        <f>+Z57/4</f>
        <v>985330.5</v>
      </c>
      <c r="AC57" s="90">
        <f>SUM(AC49:AC56)</f>
        <v>366830.67589684174</v>
      </c>
      <c r="AD57" s="90">
        <f>SUM(AD49:AD56)</f>
        <v>324855.41739256657</v>
      </c>
      <c r="AE57" s="90">
        <f>SUM(AE49:AE56)</f>
        <v>244782.00651533084</v>
      </c>
    </row>
    <row r="58" spans="21:31" ht="15.5">
      <c r="X58" t="s">
        <v>557</v>
      </c>
      <c r="Y58" s="89"/>
      <c r="AC58" s="74"/>
      <c r="AD58" s="74"/>
      <c r="AE58" s="74"/>
    </row>
    <row r="59" spans="21:31" ht="15.5">
      <c r="Y59" s="74"/>
      <c r="AC59" s="72"/>
      <c r="AD59" s="72"/>
      <c r="AE59" s="72"/>
    </row>
    <row r="62" spans="21:31" ht="18.5">
      <c r="U62" s="194" t="s">
        <v>311</v>
      </c>
      <c r="V62" s="194"/>
      <c r="W62" s="194"/>
      <c r="X62" s="194"/>
      <c r="Y62" s="194"/>
      <c r="Z62" s="194"/>
      <c r="AA62" s="194"/>
      <c r="AB62" s="194"/>
      <c r="AC62" s="194"/>
      <c r="AD62" s="194"/>
      <c r="AE62" s="194"/>
    </row>
    <row r="63" spans="21:31" ht="15.5">
      <c r="U63" s="62"/>
      <c r="V63" s="62"/>
      <c r="W63" s="62"/>
      <c r="X63" s="62"/>
      <c r="Y63" s="63" t="s">
        <v>302</v>
      </c>
      <c r="Z63" s="64">
        <v>0.14000000000000001</v>
      </c>
      <c r="AA63" s="62"/>
      <c r="AB63" s="62"/>
      <c r="AC63" s="65" t="s">
        <v>303</v>
      </c>
      <c r="AD63" s="76"/>
      <c r="AE63" s="66"/>
    </row>
    <row r="64" spans="21:31" ht="39.5" customHeight="1">
      <c r="U64" s="67"/>
      <c r="V64" s="68" t="s">
        <v>304</v>
      </c>
      <c r="W64" s="68" t="s">
        <v>305</v>
      </c>
      <c r="X64" s="68" t="s">
        <v>306</v>
      </c>
      <c r="Y64" s="69" t="s">
        <v>307</v>
      </c>
      <c r="Z64" s="69" t="s">
        <v>308</v>
      </c>
      <c r="AA64" s="69" t="s">
        <v>310</v>
      </c>
      <c r="AB64" s="77">
        <v>60</v>
      </c>
      <c r="AC64" s="77">
        <v>72</v>
      </c>
      <c r="AD64" s="77">
        <v>120</v>
      </c>
    </row>
    <row r="65" spans="2:31" ht="17.5">
      <c r="U65" s="71" t="s">
        <v>312</v>
      </c>
      <c r="V65" s="12">
        <v>1473</v>
      </c>
      <c r="W65" s="14"/>
      <c r="X65" s="72"/>
      <c r="Y65" s="72">
        <f>5100000*0.95</f>
        <v>4845000</v>
      </c>
      <c r="Z65" s="72">
        <v>1000000</v>
      </c>
      <c r="AA65" s="72">
        <f>+Y65-Z65</f>
        <v>3845000</v>
      </c>
      <c r="AB65" s="78">
        <f>PMT(+Z63/12, +AB64, -AA65)</f>
        <v>89466.424515895691</v>
      </c>
      <c r="AC65" s="78">
        <f>PMT(+Z63/12, +AC64, -AA65)</f>
        <v>79229.068309720591</v>
      </c>
      <c r="AD65" s="78">
        <f>PMT(+Z63/12, +AD64, -AA65)</f>
        <v>59699.944273231609</v>
      </c>
    </row>
    <row r="66" spans="2:31" ht="17.5">
      <c r="U66" s="71" t="s">
        <v>313</v>
      </c>
      <c r="V66" s="12">
        <v>881</v>
      </c>
      <c r="W66" s="14">
        <v>45</v>
      </c>
      <c r="X66" s="72">
        <f>+W66*62</f>
        <v>2790</v>
      </c>
      <c r="Y66" s="72">
        <f>+V66*W66*60*0.95</f>
        <v>2259765</v>
      </c>
      <c r="Z66" s="72">
        <f>+Y66*0.2</f>
        <v>451953</v>
      </c>
      <c r="AA66" s="72">
        <f>+Y66-Z66</f>
        <v>1807812</v>
      </c>
      <c r="AB66" s="78">
        <f>PMT(+Z63/12, +AB64, -AA66)</f>
        <v>42064.623104533268</v>
      </c>
      <c r="AC66" s="78">
        <f>PMT(+AA63/12, +AC64, -AA66)</f>
        <v>25108.5</v>
      </c>
      <c r="AD66" s="78">
        <f>PMT(+Z63/12, +AD64, -AA66)</f>
        <v>28069.252446418563</v>
      </c>
    </row>
    <row r="67" spans="2:31" ht="17.5">
      <c r="U67" s="71" t="s">
        <v>314</v>
      </c>
      <c r="V67" s="12">
        <v>616</v>
      </c>
      <c r="W67" s="14">
        <v>45</v>
      </c>
      <c r="X67" s="72">
        <f>+W67*62</f>
        <v>2790</v>
      </c>
      <c r="Y67" s="72">
        <f>+V67*W67*60*0.95</f>
        <v>1580040</v>
      </c>
      <c r="Z67" s="72">
        <f>+Y67*0.2</f>
        <v>316008</v>
      </c>
      <c r="AA67" s="72">
        <f>+Y67-Z67</f>
        <v>1264032</v>
      </c>
      <c r="AB67" s="78">
        <f>PMT(+Z63/12, +AB64, -AA67)</f>
        <v>29411.813657653231</v>
      </c>
      <c r="AC67" s="78">
        <f>PMT(+Z63/12, +AC64, -AA67)</f>
        <v>26046.314089381725</v>
      </c>
      <c r="AD67" s="78">
        <f>PMT(+Z63/12, +AD64, -AA67)</f>
        <v>19626.174241763718</v>
      </c>
    </row>
    <row r="68" spans="2:31" ht="17.5">
      <c r="U68" s="71" t="s">
        <v>315</v>
      </c>
      <c r="V68" s="12">
        <v>613</v>
      </c>
      <c r="W68" s="14">
        <v>42</v>
      </c>
      <c r="X68" s="72">
        <f>+W68*62</f>
        <v>2604</v>
      </c>
      <c r="Y68" s="72">
        <f>+V68*W68*60*0.95</f>
        <v>1467522</v>
      </c>
      <c r="Z68" s="72">
        <f>+Y68*0.2</f>
        <v>293504.40000000002</v>
      </c>
      <c r="AA68" s="72">
        <f>+Y68-Z68</f>
        <v>1174017.6000000001</v>
      </c>
      <c r="AB68" s="78">
        <f>PMT(+Z63/12, +AB64, -AA68)</f>
        <v>27317.336018396105</v>
      </c>
      <c r="AC68" s="78">
        <f>PMT(+Z63/12, +AC64, -AA68)</f>
        <v>24191.500813319697</v>
      </c>
      <c r="AD68" s="78">
        <f>PMT(+Z63/12, +AD64, -AA68)</f>
        <v>18228.552742729029</v>
      </c>
    </row>
    <row r="69" spans="2:31" ht="17.5">
      <c r="U69" s="71" t="s">
        <v>316</v>
      </c>
      <c r="V69" s="12">
        <f>889+493</f>
        <v>1382</v>
      </c>
      <c r="W69" s="14">
        <v>32</v>
      </c>
      <c r="X69" s="72">
        <f>+W69*62</f>
        <v>1984</v>
      </c>
      <c r="Y69" s="72">
        <f>+V69*W69*60*0.95</f>
        <v>2520768</v>
      </c>
      <c r="Z69" s="72">
        <f>+Y69*0.2</f>
        <v>504153.60000000003</v>
      </c>
      <c r="AA69" s="72">
        <f>+Y69-Z69</f>
        <v>2016614.3999999999</v>
      </c>
      <c r="AB69" s="78">
        <f>PMT(+Z63/12, +AB64, -AA69)</f>
        <v>46923.08972568746</v>
      </c>
      <c r="AC69" s="78">
        <f>PMT(+Z63/12, +AC64, -AA69)</f>
        <v>41553.83096280005</v>
      </c>
      <c r="AD69" s="78">
        <f>PMT(+Z63/12, +AD64, -AA69)</f>
        <v>31311.252874017264</v>
      </c>
    </row>
    <row r="70" spans="2:31">
      <c r="V70" s="74">
        <f>SUM(V66:V68)</f>
        <v>2110</v>
      </c>
    </row>
    <row r="71" spans="2:31">
      <c r="W71" s="74"/>
      <c r="X71" s="74"/>
      <c r="Y71" s="91">
        <f>SUM(Y65:Y70)</f>
        <v>12673095</v>
      </c>
      <c r="Z71" s="91">
        <f>SUM(Z65:Z69)</f>
        <v>2565619</v>
      </c>
      <c r="AA71" s="91">
        <f>SUM(AB66:AB69)</f>
        <v>145716.86250627006</v>
      </c>
      <c r="AB71" s="91">
        <f>SUM(AB65:AB70)</f>
        <v>235183.28702216575</v>
      </c>
      <c r="AC71" s="91">
        <f>SUM(AC65:AC70)</f>
        <v>196129.21417522206</v>
      </c>
      <c r="AD71" s="91">
        <f>SUM(AD65:AD70)</f>
        <v>156935.17657816017</v>
      </c>
    </row>
    <row r="72" spans="2:31">
      <c r="B72">
        <f>2000000/1382</f>
        <v>1447.178002894356</v>
      </c>
      <c r="AC72" s="74"/>
      <c r="AD72" s="74"/>
      <c r="AE72" s="74"/>
    </row>
    <row r="73" spans="2:31">
      <c r="X73" t="s">
        <v>557</v>
      </c>
      <c r="Y73" s="74"/>
    </row>
    <row r="74" spans="2:31">
      <c r="AC74" s="74">
        <f>+AC72+AB71*AB64</f>
        <v>14110997.221329944</v>
      </c>
      <c r="AD74" s="74"/>
      <c r="AE74" s="74">
        <f>+AE72+AD71*AC64</f>
        <v>11299332.713627532</v>
      </c>
    </row>
    <row r="75" spans="2:31">
      <c r="W75">
        <v>45</v>
      </c>
      <c r="X75">
        <f>+W75*60</f>
        <v>2700</v>
      </c>
    </row>
    <row r="76" spans="2:31">
      <c r="W76">
        <v>42</v>
      </c>
      <c r="X76">
        <f>+W76*60</f>
        <v>2520</v>
      </c>
    </row>
    <row r="77" spans="2:31">
      <c r="W77">
        <v>40</v>
      </c>
      <c r="X77">
        <f>+W77*60</f>
        <v>2400</v>
      </c>
    </row>
    <row r="79" spans="2:31" ht="15.5">
      <c r="U79" s="71" t="s">
        <v>316</v>
      </c>
      <c r="V79" s="12">
        <v>889</v>
      </c>
      <c r="W79" s="14">
        <v>42</v>
      </c>
      <c r="X79" s="72">
        <f>+W79*60</f>
        <v>2520</v>
      </c>
      <c r="Y79" s="72">
        <f>+V79*W79*60*0.95</f>
        <v>2128266</v>
      </c>
    </row>
    <row r="86" spans="3:50">
      <c r="AC86">
        <v>413627</v>
      </c>
    </row>
    <row r="87" spans="3:50">
      <c r="Y87">
        <v>2222000</v>
      </c>
    </row>
    <row r="88" spans="3:50" ht="18.5">
      <c r="U88" s="191" t="s">
        <v>87</v>
      </c>
      <c r="V88" s="191"/>
      <c r="W88" s="191"/>
      <c r="X88" s="191"/>
      <c r="Y88" s="191"/>
      <c r="Z88" s="191"/>
      <c r="AA88" s="191"/>
      <c r="AB88" s="191"/>
      <c r="AC88" s="191"/>
      <c r="AD88" s="191"/>
      <c r="AE88" s="191"/>
    </row>
    <row r="89" spans="3:50" ht="15.5">
      <c r="U89" s="62"/>
      <c r="V89" s="62"/>
      <c r="W89" s="62"/>
      <c r="X89" s="63" t="s">
        <v>302</v>
      </c>
      <c r="Y89" s="64">
        <v>0.14000000000000001</v>
      </c>
      <c r="Z89" s="62"/>
      <c r="AA89" s="62"/>
      <c r="AB89" s="65" t="s">
        <v>303</v>
      </c>
      <c r="AC89" s="66"/>
      <c r="AD89" s="66"/>
      <c r="AE89" s="62"/>
    </row>
    <row r="90" spans="3:50" s="129" customFormat="1" ht="37" customHeight="1">
      <c r="C90" s="128"/>
      <c r="E90" s="128"/>
      <c r="F90" s="128"/>
      <c r="U90" s="130"/>
      <c r="V90" s="68" t="s">
        <v>304</v>
      </c>
      <c r="W90" s="68" t="s">
        <v>783</v>
      </c>
      <c r="X90" s="68" t="s">
        <v>784</v>
      </c>
      <c r="Y90" s="84" t="s">
        <v>307</v>
      </c>
      <c r="Z90" s="84" t="s">
        <v>308</v>
      </c>
      <c r="AA90" s="84" t="s">
        <v>310</v>
      </c>
      <c r="AB90" s="68">
        <v>60</v>
      </c>
      <c r="AC90" s="68">
        <v>72</v>
      </c>
      <c r="AD90" s="68">
        <v>120</v>
      </c>
    </row>
    <row r="91" spans="3:50" ht="17.5">
      <c r="U91" s="71">
        <v>1</v>
      </c>
      <c r="V91" s="72">
        <v>1111</v>
      </c>
      <c r="W91" s="72">
        <v>2000</v>
      </c>
      <c r="X91" s="72"/>
      <c r="Y91" s="72">
        <f t="shared" ref="Y91:Y98" si="26">+V91*W91</f>
        <v>2222000</v>
      </c>
      <c r="Z91" s="72">
        <f t="shared" ref="Z91:Z98" si="27">+Y91*0.2</f>
        <v>444400</v>
      </c>
      <c r="AA91" s="72">
        <f t="shared" ref="AA91:AA98" si="28">+Y91-Z91</f>
        <v>1777600</v>
      </c>
      <c r="AB91" s="73">
        <f>PMT(+Y89/12, +AB90, -AA91)</f>
        <v>41361.642709871565</v>
      </c>
      <c r="AC91" s="73">
        <f>PMT(+Y89/12, +AC90, -AA91)</f>
        <v>36628.762503864586</v>
      </c>
      <c r="AD91" s="73">
        <f>PMT(+Y89/12, +AD90, -AA91)</f>
        <v>27600.16149287295</v>
      </c>
    </row>
    <row r="92" spans="3:50" ht="17.5">
      <c r="U92" s="71">
        <v>2</v>
      </c>
      <c r="V92" s="72">
        <v>1207</v>
      </c>
      <c r="W92" s="72">
        <v>2000</v>
      </c>
      <c r="X92" s="72"/>
      <c r="Y92" s="72">
        <f t="shared" si="26"/>
        <v>2414000</v>
      </c>
      <c r="Z92" s="72">
        <f t="shared" si="27"/>
        <v>482800</v>
      </c>
      <c r="AA92" s="72">
        <f t="shared" si="28"/>
        <v>1931200</v>
      </c>
      <c r="AB92" s="73">
        <f>PMT(+Y89/12, +AB90, -AA92)</f>
        <v>44935.646040337517</v>
      </c>
      <c r="AC92" s="73">
        <f>PMT(+Y89/12, +AC90, -AA92)</f>
        <v>39793.804088356934</v>
      </c>
      <c r="AD92" s="73">
        <f>PMT(+Y89/12, +AD90, -AA92)</f>
        <v>29985.053935101401</v>
      </c>
    </row>
    <row r="93" spans="3:50" ht="17.5">
      <c r="U93" s="71">
        <v>3</v>
      </c>
      <c r="V93" s="72">
        <v>1106</v>
      </c>
      <c r="W93" s="72">
        <v>2100</v>
      </c>
      <c r="X93" s="72"/>
      <c r="Y93" s="72">
        <f t="shared" si="26"/>
        <v>2322600</v>
      </c>
      <c r="Z93" s="72">
        <f t="shared" si="27"/>
        <v>464520</v>
      </c>
      <c r="AA93" s="72">
        <f t="shared" si="28"/>
        <v>1858080</v>
      </c>
      <c r="AB93" s="73">
        <f>PMT(+Y89/12, +AB90, -AA93)</f>
        <v>43234.271538230292</v>
      </c>
      <c r="AC93" s="73">
        <f>PMT(+Y89/12, +AC90, -AA93)</f>
        <v>38287.112417405886</v>
      </c>
      <c r="AD93" s="73">
        <f>PMT(+Y89/12, +AD90, -AA93)</f>
        <v>28849.745762082232</v>
      </c>
    </row>
    <row r="94" spans="3:50" ht="17.5">
      <c r="U94" s="71">
        <v>4</v>
      </c>
      <c r="V94" s="72">
        <v>986</v>
      </c>
      <c r="W94" s="72">
        <v>2000</v>
      </c>
      <c r="X94" s="72"/>
      <c r="Y94" s="72">
        <f t="shared" si="26"/>
        <v>1972000</v>
      </c>
      <c r="Z94" s="72">
        <v>200000</v>
      </c>
      <c r="AA94" s="72">
        <f t="shared" si="28"/>
        <v>1772000</v>
      </c>
      <c r="AB94" s="73">
        <f>PMT(+Y89/12, +AB90, -AA94)</f>
        <v>41231.340505114997</v>
      </c>
      <c r="AC94" s="73">
        <f>PMT(+Y89/12, +AC90, -AA94)</f>
        <v>36513.3703627633</v>
      </c>
      <c r="AD94" s="73">
        <f>PMT(+Y89/12, +AD90, -AA94)</f>
        <v>27513.212289250041</v>
      </c>
    </row>
    <row r="95" spans="3:50" ht="17.5">
      <c r="U95" s="71">
        <v>5</v>
      </c>
      <c r="V95" s="72">
        <v>729</v>
      </c>
      <c r="W95" s="72">
        <v>2000</v>
      </c>
      <c r="X95" s="72"/>
      <c r="Y95" s="72">
        <f t="shared" si="26"/>
        <v>1458000</v>
      </c>
      <c r="Z95" s="72">
        <f t="shared" si="27"/>
        <v>291600</v>
      </c>
      <c r="AA95" s="72">
        <f t="shared" si="28"/>
        <v>1166400</v>
      </c>
      <c r="AB95" s="73">
        <f>PMT(+Y89/12, +AB90, -AA95)</f>
        <v>27140.087790725811</v>
      </c>
      <c r="AC95" s="73">
        <f>PMT(+Y89/12, +AC90, -AA95)</f>
        <v>24034.534532238777</v>
      </c>
      <c r="AD95" s="73">
        <f>PMT(+Y89/12, +AD90, -AA95)</f>
        <v>18110.276983172262</v>
      </c>
    </row>
    <row r="96" spans="3:50" ht="18.5">
      <c r="U96" s="71">
        <v>6</v>
      </c>
      <c r="V96" s="72">
        <v>878</v>
      </c>
      <c r="W96" s="72">
        <v>2000</v>
      </c>
      <c r="X96" s="72"/>
      <c r="Y96" s="72">
        <f t="shared" si="26"/>
        <v>1756000</v>
      </c>
      <c r="Z96" s="72">
        <f t="shared" si="27"/>
        <v>351200</v>
      </c>
      <c r="AA96" s="72">
        <f t="shared" si="28"/>
        <v>1404800</v>
      </c>
      <c r="AB96" s="73">
        <f>PMT(+Y89/12, +AB90, -AA96)</f>
        <v>32687.238793219836</v>
      </c>
      <c r="AC96" s="73">
        <f>PMT(+Y89/12, +AC90, -AA96)</f>
        <v>28946.942824836278</v>
      </c>
      <c r="AD96" s="73">
        <f>PMT(+Y89/12, +AD90, -AA96)</f>
        <v>21811.828794547662</v>
      </c>
      <c r="AN96" s="191" t="s">
        <v>311</v>
      </c>
      <c r="AO96" s="192"/>
      <c r="AP96" s="192"/>
      <c r="AQ96" s="192"/>
      <c r="AR96" s="192"/>
      <c r="AS96" s="192"/>
      <c r="AT96" s="192"/>
      <c r="AU96" s="192"/>
      <c r="AV96" s="192"/>
      <c r="AW96" s="192"/>
      <c r="AX96" s="192"/>
    </row>
    <row r="97" spans="21:50" ht="17.5">
      <c r="U97" s="71">
        <v>7</v>
      </c>
      <c r="V97" s="72">
        <v>964</v>
      </c>
      <c r="W97" s="72">
        <v>2000</v>
      </c>
      <c r="X97" s="72"/>
      <c r="Y97" s="72">
        <f t="shared" si="26"/>
        <v>1928000</v>
      </c>
      <c r="Z97" s="72">
        <f t="shared" si="27"/>
        <v>385600</v>
      </c>
      <c r="AA97" s="72">
        <f t="shared" si="28"/>
        <v>1542400</v>
      </c>
      <c r="AB97" s="73">
        <f>PMT(+Y89/12, +AB90, -AA97)</f>
        <v>35888.950110095582</v>
      </c>
      <c r="AC97" s="73">
        <f>PMT(+Y89/12, +AC90, -AA97)</f>
        <v>31782.292577610675</v>
      </c>
      <c r="AD97" s="73">
        <f>PMT(+Y89/12, +AD90, -AA97)</f>
        <v>23948.294940710643</v>
      </c>
      <c r="AN97" s="62"/>
      <c r="AO97" s="62"/>
      <c r="AP97" s="62"/>
      <c r="AQ97" s="62"/>
      <c r="AR97" s="63" t="s">
        <v>302</v>
      </c>
      <c r="AS97" s="64">
        <v>0.12</v>
      </c>
      <c r="AT97" s="62"/>
      <c r="AU97" s="62"/>
      <c r="AV97" s="65" t="s">
        <v>303</v>
      </c>
      <c r="AW97" s="66"/>
      <c r="AX97" s="62"/>
    </row>
    <row r="98" spans="21:50" ht="18.5">
      <c r="U98" s="71">
        <v>8</v>
      </c>
      <c r="V98" s="72">
        <v>1111</v>
      </c>
      <c r="W98" s="72">
        <v>2000</v>
      </c>
      <c r="X98" s="72"/>
      <c r="Y98" s="72">
        <f t="shared" si="26"/>
        <v>2222000</v>
      </c>
      <c r="Z98" s="72">
        <f t="shared" si="27"/>
        <v>444400</v>
      </c>
      <c r="AA98" s="72">
        <f t="shared" si="28"/>
        <v>1777600</v>
      </c>
      <c r="AB98" s="73">
        <f>PMT(+Y89/12, +AB90, -AA98)</f>
        <v>41361.642709871565</v>
      </c>
      <c r="AC98" s="73">
        <f>PMT(+Y89/12, +AC90, -AA98)</f>
        <v>36628.762503864586</v>
      </c>
      <c r="AD98" s="73">
        <f>PMT(+Y89/12, +AD90, -AA98)</f>
        <v>27600.16149287295</v>
      </c>
      <c r="AM98" s="191" t="s">
        <v>87</v>
      </c>
      <c r="AN98" s="192"/>
      <c r="AO98" s="192"/>
      <c r="AP98" s="192"/>
      <c r="AQ98" s="192"/>
      <c r="AR98" s="192"/>
      <c r="AS98" s="192"/>
      <c r="AT98" s="192"/>
      <c r="AU98" s="192"/>
      <c r="AV98" s="192"/>
      <c r="AW98" s="192"/>
    </row>
    <row r="99" spans="21:50" ht="15.5">
      <c r="Y99" s="74">
        <f>SUM(Y91:Y98)</f>
        <v>16294600</v>
      </c>
      <c r="Z99" s="74">
        <f>SUM(Z91:Z98)</f>
        <v>3064520</v>
      </c>
      <c r="AB99" s="72">
        <f>SUM(AB91:AB98)</f>
        <v>307840.82019746717</v>
      </c>
      <c r="AC99" s="72">
        <f>SUM(AC91:AC98)</f>
        <v>272615.58181094099</v>
      </c>
      <c r="AD99" s="72">
        <f>SUM(AD91:AD98)</f>
        <v>205418.73569061016</v>
      </c>
      <c r="AM99" s="62"/>
      <c r="AN99" s="62"/>
      <c r="AO99" s="62"/>
      <c r="AP99" s="63" t="s">
        <v>302</v>
      </c>
      <c r="AQ99" s="64">
        <v>0.14000000000000001</v>
      </c>
      <c r="AR99" s="62"/>
      <c r="AS99" s="62"/>
      <c r="AT99" s="65" t="s">
        <v>303</v>
      </c>
      <c r="AU99" s="66"/>
      <c r="AV99" s="66"/>
      <c r="AW99" s="62"/>
    </row>
    <row r="100" spans="21:50" ht="29">
      <c r="AC100" s="74" t="e">
        <f>+#REF!</f>
        <v>#REF!</v>
      </c>
      <c r="AD100" s="74" t="e">
        <f>+#REF!</f>
        <v>#REF!</v>
      </c>
      <c r="AE100" s="74" t="e">
        <f>+#REF!</f>
        <v>#REF!</v>
      </c>
      <c r="AM100" s="67"/>
      <c r="AN100" s="68" t="s">
        <v>304</v>
      </c>
      <c r="AO100" s="68" t="s">
        <v>305</v>
      </c>
      <c r="AP100" s="68" t="s">
        <v>306</v>
      </c>
      <c r="AQ100" s="69" t="s">
        <v>307</v>
      </c>
      <c r="AR100" s="69" t="s">
        <v>308</v>
      </c>
      <c r="AS100" s="70" t="s">
        <v>309</v>
      </c>
      <c r="AT100" s="69" t="s">
        <v>310</v>
      </c>
      <c r="AU100" s="68">
        <v>60</v>
      </c>
      <c r="AV100" s="68">
        <v>72</v>
      </c>
      <c r="AW100" s="68">
        <v>120</v>
      </c>
    </row>
    <row r="101" spans="21:50" ht="17.5">
      <c r="U101" s="72">
        <f>+V94*970</f>
        <v>956420</v>
      </c>
      <c r="AC101" s="72">
        <f>+AB99*60</f>
        <v>18470449.211848032</v>
      </c>
      <c r="AD101" s="72">
        <f>+AC99*60</f>
        <v>16356934.908656459</v>
      </c>
      <c r="AE101" s="72">
        <f>+AD99*120</f>
        <v>24650248.282873221</v>
      </c>
      <c r="AM101" s="71">
        <v>1</v>
      </c>
      <c r="AN101" s="72">
        <v>1111</v>
      </c>
      <c r="AO101" s="72">
        <v>3000</v>
      </c>
      <c r="AP101" s="72"/>
      <c r="AQ101" s="72">
        <f t="shared" ref="AQ101:AQ108" si="29">+AN101*AO101</f>
        <v>3333000</v>
      </c>
      <c r="AR101" s="72">
        <f t="shared" ref="AR101:AR108" si="30">+AQ101*0.2</f>
        <v>666600</v>
      </c>
      <c r="AS101" s="72">
        <f t="shared" ref="AS101:AS109" si="31">+AR101/4</f>
        <v>166650</v>
      </c>
      <c r="AT101" s="72">
        <f t="shared" ref="AT101:AT108" si="32">+AQ101-AR101</f>
        <v>2666400</v>
      </c>
      <c r="AU101" s="73">
        <f>PMT(+AQ99/12, +AU100, -AT101)</f>
        <v>62042.464064807362</v>
      </c>
      <c r="AV101" s="73">
        <f>PMT(+AQ99/12, +AV100, -AT101)</f>
        <v>54943.143755796875</v>
      </c>
      <c r="AW101" s="73">
        <f>PMT(+AQ99/12, +AW100, -AT101)</f>
        <v>41400.242239309431</v>
      </c>
    </row>
    <row r="102" spans="21:50" ht="17.5">
      <c r="U102" s="72">
        <f>+V94*2000</f>
        <v>1972000</v>
      </c>
      <c r="V102" s="2"/>
      <c r="X102" s="2"/>
      <c r="Y102" s="2"/>
      <c r="AM102" s="71">
        <v>2</v>
      </c>
      <c r="AN102" s="72">
        <v>1207</v>
      </c>
      <c r="AO102" s="72">
        <v>3000</v>
      </c>
      <c r="AP102" s="72"/>
      <c r="AQ102" s="72">
        <f t="shared" si="29"/>
        <v>3621000</v>
      </c>
      <c r="AR102" s="72">
        <f t="shared" si="30"/>
        <v>724200</v>
      </c>
      <c r="AS102" s="72">
        <f t="shared" si="31"/>
        <v>181050</v>
      </c>
      <c r="AT102" s="72">
        <f t="shared" si="32"/>
        <v>2896800</v>
      </c>
      <c r="AU102" s="73">
        <f>PMT(+AQ99/12, +AU100, -AT102)</f>
        <v>67403.469060506279</v>
      </c>
      <c r="AV102" s="73">
        <f>PMT(+AQ99/12, +AV100, -AT102)</f>
        <v>59690.706132535401</v>
      </c>
      <c r="AW102" s="73">
        <f>PMT(+AQ99/12, +AW100, -AT102)</f>
        <v>44977.580902652102</v>
      </c>
    </row>
    <row r="103" spans="21:50" ht="17.5">
      <c r="U103" s="72">
        <f>+U102-U101</f>
        <v>1015580</v>
      </c>
      <c r="V103" s="2"/>
      <c r="X103" s="2"/>
      <c r="Y103" s="2"/>
      <c r="AM103" s="71">
        <v>3</v>
      </c>
      <c r="AN103" s="72">
        <v>1106</v>
      </c>
      <c r="AO103" s="72">
        <v>3000</v>
      </c>
      <c r="AP103" s="72"/>
      <c r="AQ103" s="72">
        <f t="shared" si="29"/>
        <v>3318000</v>
      </c>
      <c r="AR103" s="72">
        <f t="shared" si="30"/>
        <v>663600</v>
      </c>
      <c r="AS103" s="72">
        <f t="shared" si="31"/>
        <v>165900</v>
      </c>
      <c r="AT103" s="72">
        <f t="shared" si="32"/>
        <v>2654400</v>
      </c>
      <c r="AU103" s="73">
        <f>PMT(+AQ99/12, +AU100, -AT103)</f>
        <v>61763.245054614701</v>
      </c>
      <c r="AV103" s="73">
        <f>PMT(+AQ99/12, +AV100, -AT103)</f>
        <v>54695.874882008407</v>
      </c>
      <c r="AW103" s="73">
        <f>PMT(+AQ99/12, +AW100, -AT103)</f>
        <v>41213.922517260333</v>
      </c>
    </row>
    <row r="104" spans="21:50" ht="17.5">
      <c r="V104" s="2"/>
      <c r="X104" s="2"/>
      <c r="Y104" s="2"/>
      <c r="AM104" s="71">
        <v>4</v>
      </c>
      <c r="AN104" s="72">
        <v>986</v>
      </c>
      <c r="AO104" s="72">
        <v>3000</v>
      </c>
      <c r="AP104" s="72"/>
      <c r="AQ104" s="72">
        <f t="shared" si="29"/>
        <v>2958000</v>
      </c>
      <c r="AR104" s="72">
        <f t="shared" si="30"/>
        <v>591600</v>
      </c>
      <c r="AS104" s="72">
        <f t="shared" si="31"/>
        <v>147900</v>
      </c>
      <c r="AT104" s="72">
        <f t="shared" si="32"/>
        <v>2366400</v>
      </c>
      <c r="AU104" s="73">
        <f>PMT(+AQ99/12, +AU100, -AT104)</f>
        <v>55061.988809991046</v>
      </c>
      <c r="AV104" s="73">
        <f>PMT(+AQ99/12, +AV100, -AT104)</f>
        <v>48761.421911085257</v>
      </c>
      <c r="AW104" s="73">
        <f>PMT(+AQ99/12, +AW100, -AT104)</f>
        <v>36742.249188081994</v>
      </c>
    </row>
    <row r="105" spans="21:50" ht="17.5">
      <c r="AM105" s="71">
        <v>5</v>
      </c>
      <c r="AN105" s="72">
        <v>729</v>
      </c>
      <c r="AO105" s="72">
        <v>2500</v>
      </c>
      <c r="AP105" s="72"/>
      <c r="AQ105" s="72">
        <f t="shared" si="29"/>
        <v>1822500</v>
      </c>
      <c r="AR105" s="72">
        <f t="shared" si="30"/>
        <v>364500</v>
      </c>
      <c r="AS105" s="72">
        <f t="shared" si="31"/>
        <v>91125</v>
      </c>
      <c r="AT105" s="72">
        <f t="shared" si="32"/>
        <v>1458000</v>
      </c>
      <c r="AU105" s="73">
        <f>PMT(+AQ99/12, +AU100, -AT105)</f>
        <v>33925.109738407256</v>
      </c>
      <c r="AV105" s="73">
        <f>PMT(+AQ99/12, +AV100, -AT105)</f>
        <v>30043.168165298473</v>
      </c>
      <c r="AW105" s="73">
        <f>PMT(+AQ99/12, +AW100, -AT105)</f>
        <v>22637.846228965325</v>
      </c>
    </row>
    <row r="106" spans="21:50" ht="17.5">
      <c r="AM106" s="71">
        <v>6</v>
      </c>
      <c r="AN106" s="72">
        <v>878</v>
      </c>
      <c r="AO106" s="72">
        <v>2500</v>
      </c>
      <c r="AP106" s="72"/>
      <c r="AQ106" s="72">
        <f t="shared" si="29"/>
        <v>2195000</v>
      </c>
      <c r="AR106" s="72">
        <f t="shared" si="30"/>
        <v>439000</v>
      </c>
      <c r="AS106" s="72">
        <f t="shared" si="31"/>
        <v>109750</v>
      </c>
      <c r="AT106" s="72">
        <f t="shared" si="32"/>
        <v>1756000</v>
      </c>
      <c r="AU106" s="73">
        <f>PMT(+AQ99/12, +AU100, -AT106)</f>
        <v>40859.048491524794</v>
      </c>
      <c r="AV106" s="73">
        <f>PMT(+AQ99/12, +AV100, -AT106)</f>
        <v>36183.678531045349</v>
      </c>
      <c r="AW106" s="73">
        <f>PMT(+AQ99/12, +AW100, -AT106)</f>
        <v>27264.785993184578</v>
      </c>
    </row>
    <row r="107" spans="21:50" ht="17.5">
      <c r="AM107" s="71">
        <v>7</v>
      </c>
      <c r="AN107" s="72">
        <v>964</v>
      </c>
      <c r="AO107" s="72">
        <v>2500</v>
      </c>
      <c r="AP107" s="72"/>
      <c r="AQ107" s="72">
        <f t="shared" si="29"/>
        <v>2410000</v>
      </c>
      <c r="AR107" s="72">
        <f t="shared" si="30"/>
        <v>482000</v>
      </c>
      <c r="AS107" s="72">
        <f t="shared" si="31"/>
        <v>120500</v>
      </c>
      <c r="AT107" s="72">
        <f t="shared" si="32"/>
        <v>1928000</v>
      </c>
      <c r="AU107" s="73">
        <f>PMT(+AQ99/12, +AU100, -AT107)</f>
        <v>44861.187637619478</v>
      </c>
      <c r="AV107" s="73">
        <f>PMT(+AQ99/12, +AV100, -AT107)</f>
        <v>39727.865722013339</v>
      </c>
      <c r="AW107" s="73">
        <f>PMT(+AQ99/12, +AW100, -AT107)</f>
        <v>29935.368675888305</v>
      </c>
    </row>
    <row r="108" spans="21:50" ht="17.5">
      <c r="AM108" s="71">
        <v>8</v>
      </c>
      <c r="AN108" s="72">
        <v>1111</v>
      </c>
      <c r="AO108" s="72">
        <v>2500</v>
      </c>
      <c r="AP108" s="72"/>
      <c r="AQ108" s="72">
        <f t="shared" si="29"/>
        <v>2777500</v>
      </c>
      <c r="AR108" s="72">
        <f t="shared" si="30"/>
        <v>555500</v>
      </c>
      <c r="AS108" s="72">
        <f t="shared" si="31"/>
        <v>138875</v>
      </c>
      <c r="AT108" s="72">
        <f t="shared" si="32"/>
        <v>2222000</v>
      </c>
      <c r="AU108" s="73">
        <f>PMT(+AQ99/12, +AU100, -AT108)</f>
        <v>51702.05338733946</v>
      </c>
      <c r="AV108" s="73">
        <f>PMT(+AQ99/12, +AV100, -AT108)</f>
        <v>45785.953129830734</v>
      </c>
      <c r="AW108" s="73">
        <f>PMT(+AQ99/12, +AW100, -AT108)</f>
        <v>34500.201866091193</v>
      </c>
    </row>
    <row r="109" spans="21:50" ht="15.5">
      <c r="AQ109" s="74">
        <f>SUM(AQ101:AQ108)</f>
        <v>22435000</v>
      </c>
      <c r="AR109" s="74">
        <f>SUM(AR101:AR108)</f>
        <v>4487000</v>
      </c>
      <c r="AS109" s="75">
        <f t="shared" si="31"/>
        <v>1121750</v>
      </c>
      <c r="AU109" s="72">
        <f>SUM(AU101:AU108)</f>
        <v>417618.56624481041</v>
      </c>
      <c r="AV109" s="72">
        <f>SUM(AV101:AV108)</f>
        <v>369831.81222961383</v>
      </c>
      <c r="AW109" s="72">
        <f>SUM(AW101:AW108)</f>
        <v>278672.19761143328</v>
      </c>
    </row>
    <row r="110" spans="21:50">
      <c r="AU110" s="74">
        <f>+AS109</f>
        <v>1121750</v>
      </c>
      <c r="AV110" s="74">
        <f>+AS109</f>
        <v>1121750</v>
      </c>
      <c r="AW110" s="74">
        <f>+AS109</f>
        <v>1121750</v>
      </c>
    </row>
    <row r="111" spans="21:50" ht="15.5">
      <c r="AU111" s="72">
        <f>+AU109*60</f>
        <v>25057113.974688623</v>
      </c>
      <c r="AV111" s="72">
        <f>+AV109*60</f>
        <v>22189908.73377683</v>
      </c>
      <c r="AW111" s="72">
        <f>+AW109*120</f>
        <v>33440663.713371992</v>
      </c>
    </row>
    <row r="124" spans="2:26" ht="15.5">
      <c r="B124" s="193" t="s">
        <v>763</v>
      </c>
      <c r="C124" s="193"/>
      <c r="D124" s="193"/>
      <c r="E124" s="193"/>
      <c r="F124" s="193"/>
      <c r="G124" s="193"/>
      <c r="H124" s="193"/>
      <c r="I124" s="193"/>
      <c r="J124" s="193"/>
      <c r="K124" s="193"/>
      <c r="L124" s="193"/>
      <c r="M124" s="193"/>
      <c r="N124" s="193"/>
      <c r="O124" s="193"/>
      <c r="P124" s="193"/>
      <c r="Q124" s="193"/>
      <c r="R124" s="193"/>
      <c r="S124" s="193"/>
      <c r="T124" s="193"/>
      <c r="U124" s="193"/>
      <c r="V124" s="127" t="s">
        <v>219</v>
      </c>
    </row>
    <row r="125" spans="2:26">
      <c r="B125" s="14" t="s">
        <v>764</v>
      </c>
      <c r="C125" s="12"/>
      <c r="D125" s="14"/>
      <c r="E125" s="12"/>
      <c r="F125" s="12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25">
        <v>20000</v>
      </c>
      <c r="V125" s="14"/>
    </row>
    <row r="126" spans="2:26">
      <c r="B126" s="14" t="s">
        <v>765</v>
      </c>
      <c r="C126" s="12"/>
      <c r="D126" s="14"/>
      <c r="E126" s="12"/>
      <c r="F126" s="12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25">
        <v>20000</v>
      </c>
      <c r="V126" s="14"/>
    </row>
    <row r="127" spans="2:26">
      <c r="B127" s="14" t="s">
        <v>766</v>
      </c>
      <c r="C127" s="12"/>
      <c r="D127" s="14"/>
      <c r="E127" s="12"/>
      <c r="F127" s="12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25">
        <v>2000</v>
      </c>
      <c r="V127" s="14"/>
    </row>
    <row r="128" spans="2:26">
      <c r="B128" s="14" t="s">
        <v>767</v>
      </c>
      <c r="C128" s="12"/>
      <c r="D128" s="14"/>
      <c r="E128" s="12"/>
      <c r="F128" s="12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25">
        <v>3400</v>
      </c>
      <c r="V128" s="14"/>
      <c r="Z128">
        <v>150</v>
      </c>
    </row>
    <row r="129" spans="2:26">
      <c r="B129" s="14" t="s">
        <v>768</v>
      </c>
      <c r="C129" s="12"/>
      <c r="D129" s="14"/>
      <c r="E129" s="12"/>
      <c r="F129" s="12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25">
        <v>1000</v>
      </c>
      <c r="V129" s="14"/>
      <c r="Z129">
        <v>100</v>
      </c>
    </row>
    <row r="130" spans="2:26">
      <c r="B130" s="14" t="s">
        <v>779</v>
      </c>
      <c r="C130" s="12"/>
      <c r="D130" s="14"/>
      <c r="E130" s="12"/>
      <c r="F130" s="12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25">
        <v>600</v>
      </c>
      <c r="V130" s="14"/>
    </row>
    <row r="131" spans="2:26">
      <c r="B131" s="14" t="s">
        <v>769</v>
      </c>
      <c r="C131" s="12"/>
      <c r="D131" s="14"/>
      <c r="E131" s="12"/>
      <c r="F131" s="12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25">
        <v>2000</v>
      </c>
      <c r="V131" s="14"/>
      <c r="Z131">
        <v>200</v>
      </c>
    </row>
    <row r="132" spans="2:26">
      <c r="B132" s="14" t="s">
        <v>770</v>
      </c>
      <c r="C132" s="12"/>
      <c r="D132" s="14"/>
      <c r="E132" s="12"/>
      <c r="F132" s="12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25">
        <v>14000</v>
      </c>
      <c r="V132" s="14"/>
    </row>
    <row r="133" spans="2:26">
      <c r="B133" s="14" t="s">
        <v>777</v>
      </c>
      <c r="C133" s="12"/>
      <c r="D133" s="14"/>
      <c r="E133" s="12"/>
      <c r="F133" s="12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25"/>
      <c r="V133" s="14"/>
      <c r="W133" s="125">
        <v>8000</v>
      </c>
      <c r="X133" t="s">
        <v>776</v>
      </c>
      <c r="Z133">
        <f>SUM(Z128:Z132)</f>
        <v>450</v>
      </c>
    </row>
    <row r="134" spans="2:26">
      <c r="B134" s="14" t="s">
        <v>773</v>
      </c>
      <c r="C134" s="12"/>
      <c r="D134" s="14"/>
      <c r="E134" s="12"/>
      <c r="F134" s="12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25">
        <v>15000</v>
      </c>
      <c r="V134" s="14"/>
      <c r="Z134">
        <f>+Z133*4.2</f>
        <v>1890</v>
      </c>
    </row>
    <row r="135" spans="2:26">
      <c r="B135" s="14" t="s">
        <v>774</v>
      </c>
      <c r="C135" s="12"/>
      <c r="D135" s="14"/>
      <c r="E135" s="12"/>
      <c r="F135" s="12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25">
        <v>10000</v>
      </c>
    </row>
    <row r="136" spans="2:26">
      <c r="B136" s="14" t="s">
        <v>775</v>
      </c>
      <c r="C136" s="12"/>
      <c r="D136" s="14"/>
      <c r="E136" s="12"/>
      <c r="F136" s="12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25"/>
      <c r="V136" s="125"/>
      <c r="Z136">
        <f>+Z134/26</f>
        <v>72.692307692307693</v>
      </c>
    </row>
    <row r="137" spans="2:26">
      <c r="B137" s="14" t="s">
        <v>778</v>
      </c>
      <c r="C137" s="12"/>
      <c r="D137" s="14"/>
      <c r="E137" s="12"/>
      <c r="F137" s="12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25">
        <v>2000</v>
      </c>
      <c r="V137" s="125">
        <f>SUM(U125:U137)</f>
        <v>90000</v>
      </c>
    </row>
    <row r="138" spans="2:26">
      <c r="B138" s="14"/>
      <c r="C138" s="12"/>
      <c r="D138" s="14"/>
      <c r="E138" s="12"/>
      <c r="F138" s="12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Z138">
        <f>+Z136*275</f>
        <v>19990.384615384617</v>
      </c>
    </row>
    <row r="139" spans="2:26">
      <c r="B139" s="14" t="s">
        <v>771</v>
      </c>
      <c r="C139" s="12"/>
      <c r="D139" s="14"/>
      <c r="E139" s="12"/>
      <c r="F139" s="12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25">
        <v>10000</v>
      </c>
      <c r="V139" s="14"/>
    </row>
    <row r="140" spans="2:26">
      <c r="B140" s="14" t="s">
        <v>772</v>
      </c>
      <c r="C140" s="12"/>
      <c r="D140" s="14"/>
      <c r="E140" s="12"/>
      <c r="F140" s="12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25">
        <f>1400*62</f>
        <v>86800</v>
      </c>
      <c r="V140" s="125">
        <f>+U139+U140</f>
        <v>96800</v>
      </c>
    </row>
    <row r="141" spans="2:26">
      <c r="B141" s="14" t="s">
        <v>558</v>
      </c>
      <c r="C141" s="12"/>
      <c r="D141" s="14"/>
      <c r="E141" s="12"/>
      <c r="F141" s="12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25"/>
      <c r="V141" s="125">
        <f>+V140-V137</f>
        <v>6800</v>
      </c>
    </row>
    <row r="146" spans="3:31" ht="18.5">
      <c r="U146" s="194" t="s">
        <v>311</v>
      </c>
      <c r="V146" s="194"/>
      <c r="W146" s="194"/>
      <c r="X146" s="194"/>
      <c r="Y146" s="194"/>
      <c r="Z146" s="194"/>
      <c r="AA146" s="194"/>
      <c r="AB146" s="194"/>
      <c r="AC146" s="194"/>
      <c r="AD146" s="194"/>
      <c r="AE146" s="194"/>
    </row>
    <row r="147" spans="3:31" ht="15.5">
      <c r="U147" s="62"/>
      <c r="V147" s="62"/>
      <c r="W147" s="62"/>
      <c r="X147" s="62"/>
      <c r="Y147" s="63" t="s">
        <v>302</v>
      </c>
      <c r="Z147" s="64">
        <v>0.14000000000000001</v>
      </c>
      <c r="AA147" s="62"/>
      <c r="AB147" s="62"/>
      <c r="AC147" s="65" t="s">
        <v>303</v>
      </c>
      <c r="AD147" s="76"/>
      <c r="AE147" s="66"/>
    </row>
    <row r="148" spans="3:31" s="129" customFormat="1" ht="44.5" customHeight="1">
      <c r="C148" s="128"/>
      <c r="E148" s="128"/>
      <c r="F148" s="128"/>
      <c r="U148" s="130"/>
      <c r="V148" s="68" t="s">
        <v>304</v>
      </c>
      <c r="W148" s="68" t="s">
        <v>305</v>
      </c>
      <c r="X148" s="68" t="s">
        <v>306</v>
      </c>
      <c r="Y148" s="84" t="s">
        <v>307</v>
      </c>
      <c r="Z148" s="84" t="s">
        <v>308</v>
      </c>
      <c r="AA148" s="68" t="s">
        <v>309</v>
      </c>
      <c r="AB148" s="84" t="s">
        <v>310</v>
      </c>
      <c r="AC148" s="77">
        <v>60</v>
      </c>
      <c r="AD148" s="77">
        <v>72</v>
      </c>
      <c r="AE148" s="77">
        <v>120</v>
      </c>
    </row>
    <row r="149" spans="3:31" ht="17.5">
      <c r="U149" s="71" t="s">
        <v>312</v>
      </c>
      <c r="V149" s="12">
        <v>1473</v>
      </c>
      <c r="W149" s="14"/>
      <c r="X149" s="72"/>
      <c r="Y149" s="72">
        <f>5100000</f>
        <v>5100000</v>
      </c>
      <c r="Z149" s="72">
        <v>1000000</v>
      </c>
      <c r="AA149" s="72">
        <f>+Z149/4</f>
        <v>250000</v>
      </c>
      <c r="AB149" s="72">
        <f>+Y149-Z149</f>
        <v>4100000</v>
      </c>
      <c r="AC149" s="78">
        <f>PMT(+Z147/12, +AC148, -AB149)</f>
        <v>95399.828482489553</v>
      </c>
      <c r="AD149" s="78">
        <f>PMT(+Z147/12, +AD148, -AB149)</f>
        <v>84483.531877725472</v>
      </c>
      <c r="AE149" s="78">
        <f>PMT(+Z147/12, +AE148, -AB149)</f>
        <v>63659.238366774924</v>
      </c>
    </row>
    <row r="150" spans="3:31" ht="17.5">
      <c r="U150" s="71" t="s">
        <v>313</v>
      </c>
      <c r="V150" s="12">
        <v>881</v>
      </c>
      <c r="W150" s="14">
        <v>45</v>
      </c>
      <c r="X150" s="72">
        <f>+W150*62</f>
        <v>2790</v>
      </c>
      <c r="Y150" s="72">
        <f>+V150*W150*60</f>
        <v>2378700</v>
      </c>
      <c r="Z150" s="72">
        <f>+Y150*0.2</f>
        <v>475740</v>
      </c>
      <c r="AA150" s="72">
        <f>+Z150/4</f>
        <v>118935</v>
      </c>
      <c r="AB150" s="72">
        <f>+Y150-Z150</f>
        <v>1902960</v>
      </c>
      <c r="AC150" s="78">
        <f>PMT(+Z147/12, +AC148, -AB150)</f>
        <v>44278.55063635081</v>
      </c>
      <c r="AD150" s="78">
        <f>PMT(+AA147/12, +AD148, -AB150)</f>
        <v>26430</v>
      </c>
      <c r="AE150" s="78">
        <f>PMT(+Z147/12, +AE148, -AB150)</f>
        <v>29546.581522545857</v>
      </c>
    </row>
    <row r="151" spans="3:31" ht="17.5">
      <c r="U151" s="71" t="s">
        <v>314</v>
      </c>
      <c r="V151" s="12">
        <v>616</v>
      </c>
      <c r="W151" s="14">
        <v>45</v>
      </c>
      <c r="X151" s="72">
        <f>+W151*62</f>
        <v>2790</v>
      </c>
      <c r="Y151" s="72">
        <f>+V151*W151*60</f>
        <v>1663200</v>
      </c>
      <c r="Z151" s="72">
        <f>+Y151*0.2</f>
        <v>332640</v>
      </c>
      <c r="AA151" s="72">
        <f>+Z151/4</f>
        <v>83160</v>
      </c>
      <c r="AB151" s="72">
        <f>+Y151-Z151</f>
        <v>1330560</v>
      </c>
      <c r="AC151" s="78">
        <f>PMT(+Z147/12, +AC148, -AB151)</f>
        <v>30959.803850161294</v>
      </c>
      <c r="AD151" s="78">
        <f>PMT(+Z147/12, +AD148, -AB151)</f>
        <v>27417.172725664979</v>
      </c>
      <c r="AE151" s="78">
        <f>PMT(+Z147/12, +AE148, -AB151)</f>
        <v>20659.130780803913</v>
      </c>
    </row>
    <row r="152" spans="3:31" ht="17.5">
      <c r="U152" s="71" t="s">
        <v>315</v>
      </c>
      <c r="V152" s="12">
        <v>613</v>
      </c>
      <c r="W152" s="14">
        <v>42</v>
      </c>
      <c r="X152" s="72">
        <f>+W152*62</f>
        <v>2604</v>
      </c>
      <c r="Y152" s="72">
        <f>+V152*W152*60</f>
        <v>1544760</v>
      </c>
      <c r="Z152" s="72">
        <f>+Y152*0.2</f>
        <v>308952</v>
      </c>
      <c r="AA152" s="72">
        <f>+Z152/4</f>
        <v>77238</v>
      </c>
      <c r="AB152" s="72">
        <f>+Y152-Z152</f>
        <v>1235808</v>
      </c>
      <c r="AC152" s="78">
        <f>PMT(+Z147/12, +AC148, -AB152)</f>
        <v>28755.090545680108</v>
      </c>
      <c r="AD152" s="78">
        <f>PMT(+Z147/12, +AD148, -AB152)</f>
        <v>25464.737698231256</v>
      </c>
      <c r="AE152" s="78">
        <f>PMT(+Z147/12, +AE148, -AB152)</f>
        <v>19187.950255504238</v>
      </c>
    </row>
    <row r="153" spans="3:31" ht="17.5">
      <c r="U153" s="71" t="s">
        <v>316</v>
      </c>
      <c r="V153" s="12">
        <f>889+493</f>
        <v>1382</v>
      </c>
      <c r="W153" s="14">
        <v>32</v>
      </c>
      <c r="X153" s="72">
        <f>+W153*62</f>
        <v>1984</v>
      </c>
      <c r="Y153" s="72">
        <f>+V153*W153*60</f>
        <v>2653440</v>
      </c>
      <c r="Z153" s="72">
        <f>+Y153*0.2</f>
        <v>530688</v>
      </c>
      <c r="AA153" s="72">
        <f>+Z153/4</f>
        <v>132672</v>
      </c>
      <c r="AB153" s="72">
        <f>+Y153-Z153</f>
        <v>2122752</v>
      </c>
      <c r="AC153" s="78">
        <f>PMT(+Z147/12, +AC148, -AB153)</f>
        <v>49392.726027039433</v>
      </c>
      <c r="AD153" s="78">
        <f>PMT(+Z147/12, +AD148, -AB153)</f>
        <v>43740.874697684267</v>
      </c>
      <c r="AE153" s="78">
        <f>PMT(+Z147/12, +AE148, -AB153)</f>
        <v>32959.213551597124</v>
      </c>
    </row>
    <row r="173" spans="21:25">
      <c r="U173" s="195" t="s">
        <v>549</v>
      </c>
      <c r="V173" s="196"/>
      <c r="W173" s="196"/>
      <c r="X173" s="197"/>
      <c r="Y173" s="2"/>
    </row>
    <row r="174" spans="21:25">
      <c r="U174" s="43" t="s">
        <v>550</v>
      </c>
      <c r="V174" s="126" t="s">
        <v>554</v>
      </c>
      <c r="W174" s="43" t="s">
        <v>555</v>
      </c>
      <c r="X174" s="126" t="s">
        <v>136</v>
      </c>
      <c r="Y174" s="2"/>
    </row>
    <row r="175" spans="21:25">
      <c r="U175" s="14" t="s">
        <v>271</v>
      </c>
      <c r="V175" s="14" t="s">
        <v>556</v>
      </c>
      <c r="W175" s="14"/>
      <c r="X175" s="12"/>
      <c r="Y175" s="2"/>
    </row>
    <row r="176" spans="21:25">
      <c r="U176" s="14" t="s">
        <v>272</v>
      </c>
      <c r="V176" s="14" t="s">
        <v>556</v>
      </c>
      <c r="W176" s="14"/>
      <c r="X176" s="12"/>
      <c r="Y176" s="2"/>
    </row>
    <row r="177" spans="21:26">
      <c r="U177" s="14" t="s">
        <v>262</v>
      </c>
      <c r="V177" s="121">
        <v>10000</v>
      </c>
      <c r="W177" s="122">
        <v>4000</v>
      </c>
      <c r="X177" s="22">
        <f>+V177+W177</f>
        <v>14000</v>
      </c>
      <c r="Y177" s="2"/>
      <c r="Z177" s="2">
        <f>+V177+W177</f>
        <v>14000</v>
      </c>
    </row>
    <row r="178" spans="21:26">
      <c r="U178" s="88" t="s">
        <v>273</v>
      </c>
      <c r="V178" s="121">
        <v>10000</v>
      </c>
      <c r="W178" s="122">
        <v>3500</v>
      </c>
      <c r="X178" s="125">
        <f>+X177+V178+W178</f>
        <v>27500</v>
      </c>
      <c r="Y178" s="2"/>
      <c r="Z178" s="2">
        <f>+Z177+V178+W178</f>
        <v>27500</v>
      </c>
    </row>
    <row r="179" spans="21:26">
      <c r="U179" s="14" t="s">
        <v>551</v>
      </c>
      <c r="V179" s="121">
        <v>10000</v>
      </c>
      <c r="W179" s="122">
        <f>+W178-500</f>
        <v>3000</v>
      </c>
      <c r="X179" s="125">
        <f t="shared" ref="X179:X186" si="33">+X178+V179+W179</f>
        <v>40500</v>
      </c>
      <c r="Y179" s="2"/>
      <c r="Z179" s="2">
        <f>+Z178+V179+W179</f>
        <v>40500</v>
      </c>
    </row>
    <row r="180" spans="21:26">
      <c r="U180" s="14" t="s">
        <v>552</v>
      </c>
      <c r="V180" s="121">
        <v>10000</v>
      </c>
      <c r="W180" s="122">
        <f>+W179-500</f>
        <v>2500</v>
      </c>
      <c r="X180" s="125">
        <f t="shared" si="33"/>
        <v>53000</v>
      </c>
      <c r="Z180" s="2">
        <f>+Z179+V180+W180</f>
        <v>53000</v>
      </c>
    </row>
    <row r="181" spans="21:26">
      <c r="U181" s="13">
        <v>45744</v>
      </c>
      <c r="V181" s="121">
        <v>-50000</v>
      </c>
      <c r="W181" s="122"/>
      <c r="X181" s="125">
        <f t="shared" si="33"/>
        <v>3000</v>
      </c>
      <c r="Z181" s="2"/>
    </row>
    <row r="182" spans="21:26">
      <c r="U182" s="14" t="s">
        <v>553</v>
      </c>
      <c r="V182" s="123">
        <v>10000</v>
      </c>
      <c r="W182" s="124">
        <v>2500</v>
      </c>
      <c r="X182" s="125">
        <f t="shared" si="33"/>
        <v>15500</v>
      </c>
      <c r="Z182" s="2">
        <f>+Z180+V182+W182</f>
        <v>65500</v>
      </c>
    </row>
    <row r="183" spans="21:26">
      <c r="U183" s="14" t="s">
        <v>267</v>
      </c>
      <c r="V183" s="123">
        <v>10000</v>
      </c>
      <c r="W183" s="124">
        <f>+W182-500</f>
        <v>2000</v>
      </c>
      <c r="X183" s="125">
        <f t="shared" si="33"/>
        <v>27500</v>
      </c>
      <c r="Z183" s="2">
        <f>+Z182+V183+W183</f>
        <v>77500</v>
      </c>
    </row>
    <row r="184" spans="21:26">
      <c r="U184" s="14" t="s">
        <v>268</v>
      </c>
      <c r="V184" s="123">
        <v>10000</v>
      </c>
      <c r="W184" s="124">
        <f>+W183-500</f>
        <v>1500</v>
      </c>
      <c r="X184" s="125">
        <f t="shared" si="33"/>
        <v>39000</v>
      </c>
      <c r="Z184" s="2">
        <f>+Z183+V184+W184</f>
        <v>89000</v>
      </c>
    </row>
    <row r="185" spans="21:26">
      <c r="U185" s="14" t="s">
        <v>269</v>
      </c>
      <c r="V185" s="123">
        <v>10000</v>
      </c>
      <c r="W185" s="124">
        <v>1000</v>
      </c>
      <c r="X185" s="125">
        <f t="shared" si="33"/>
        <v>50000</v>
      </c>
      <c r="Z185" s="2">
        <f>+Z184+V185+W185</f>
        <v>100000</v>
      </c>
    </row>
    <row r="186" spans="21:26">
      <c r="U186" s="14" t="s">
        <v>258</v>
      </c>
      <c r="V186" s="123">
        <v>10000</v>
      </c>
      <c r="W186" s="124">
        <v>500</v>
      </c>
      <c r="X186" s="125">
        <f t="shared" si="33"/>
        <v>60500</v>
      </c>
    </row>
    <row r="187" spans="21:26">
      <c r="U187" s="13">
        <v>45773</v>
      </c>
      <c r="V187" s="123">
        <v>-50000</v>
      </c>
      <c r="W187" s="124"/>
      <c r="X187" s="125"/>
    </row>
    <row r="188" spans="21:26">
      <c r="U188" s="14" t="s">
        <v>258</v>
      </c>
      <c r="V188" s="22">
        <v>10000</v>
      </c>
      <c r="W188" s="14">
        <v>1000</v>
      </c>
      <c r="X188" s="125">
        <f>+V188+W188</f>
        <v>11000</v>
      </c>
      <c r="Z188" s="2">
        <f>+V188+W188</f>
        <v>11000</v>
      </c>
    </row>
    <row r="189" spans="21:26">
      <c r="U189" s="14" t="s">
        <v>270</v>
      </c>
      <c r="V189" s="14">
        <v>10000</v>
      </c>
      <c r="W189" s="14">
        <v>500</v>
      </c>
      <c r="X189" s="125">
        <f>+X188+V189+W189</f>
        <v>21500</v>
      </c>
    </row>
  </sheetData>
  <mergeCells count="9">
    <mergeCell ref="AM98:AW98"/>
    <mergeCell ref="B124:U124"/>
    <mergeCell ref="U146:AE146"/>
    <mergeCell ref="U173:X173"/>
    <mergeCell ref="C1:I1"/>
    <mergeCell ref="U46:AD46"/>
    <mergeCell ref="U62:AE62"/>
    <mergeCell ref="U88:AE88"/>
    <mergeCell ref="AN96:AX96"/>
  </mergeCells>
  <pageMargins left="0.7" right="0.7" top="0.75" bottom="0.75" header="0.511811023622047" footer="0.511811023622047"/>
  <pageSetup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workbookViewId="0">
      <selection activeCell="D6" sqref="D6"/>
    </sheetView>
  </sheetViews>
  <sheetFormatPr baseColWidth="10" defaultRowHeight="14.5"/>
  <cols>
    <col min="2" max="2" width="13.81640625" customWidth="1"/>
    <col min="4" max="4" width="13.26953125" customWidth="1"/>
  </cols>
  <sheetData>
    <row r="1" spans="1:4">
      <c r="A1" s="211" t="s">
        <v>866</v>
      </c>
      <c r="B1" s="211"/>
      <c r="C1" s="211"/>
      <c r="D1" s="211"/>
    </row>
    <row r="2" spans="1:4">
      <c r="A2" s="140" t="s">
        <v>1</v>
      </c>
      <c r="B2" s="140" t="s">
        <v>2</v>
      </c>
      <c r="C2" s="140" t="s">
        <v>862</v>
      </c>
      <c r="D2" s="140" t="s">
        <v>863</v>
      </c>
    </row>
    <row r="3" spans="1:4">
      <c r="A3" s="13">
        <v>45824</v>
      </c>
      <c r="B3" s="12">
        <v>2322600</v>
      </c>
      <c r="C3" s="14" t="s">
        <v>864</v>
      </c>
      <c r="D3" s="12">
        <v>2322600</v>
      </c>
    </row>
    <row r="4" spans="1:4">
      <c r="A4" s="13">
        <v>45824</v>
      </c>
      <c r="B4" s="12">
        <v>1200000</v>
      </c>
      <c r="C4" s="14" t="s">
        <v>865</v>
      </c>
      <c r="D4" s="12">
        <f>+D3-B4</f>
        <v>1122600</v>
      </c>
    </row>
    <row r="5" spans="1:4">
      <c r="A5" s="13">
        <v>45889</v>
      </c>
      <c r="B5" s="12">
        <v>1122600</v>
      </c>
      <c r="C5" s="14" t="s">
        <v>923</v>
      </c>
      <c r="D5" s="12">
        <v>0</v>
      </c>
    </row>
    <row r="6" spans="1:4">
      <c r="A6" s="14"/>
      <c r="B6" s="12"/>
      <c r="C6" s="14"/>
      <c r="D6" s="12"/>
    </row>
    <row r="7" spans="1:4">
      <c r="A7" s="14"/>
      <c r="B7" s="12"/>
      <c r="C7" s="14"/>
      <c r="D7" s="12"/>
    </row>
    <row r="8" spans="1:4">
      <c r="A8" s="14"/>
      <c r="B8" s="12"/>
      <c r="C8" s="14"/>
      <c r="D8" s="12"/>
    </row>
    <row r="9" spans="1:4">
      <c r="A9" s="14"/>
      <c r="B9" s="12"/>
      <c r="C9" s="14"/>
      <c r="D9" s="12"/>
    </row>
    <row r="10" spans="1:4">
      <c r="A10" s="14"/>
      <c r="B10" s="12"/>
      <c r="C10" s="14"/>
      <c r="D10" s="12"/>
    </row>
    <row r="11" spans="1:4">
      <c r="A11" s="14"/>
      <c r="B11" s="12"/>
      <c r="C11" s="14"/>
      <c r="D11" s="12"/>
    </row>
    <row r="12" spans="1:4">
      <c r="A12" s="14"/>
      <c r="B12" s="12"/>
      <c r="C12" s="14"/>
      <c r="D12" s="12"/>
    </row>
    <row r="13" spans="1:4">
      <c r="A13" s="14"/>
      <c r="B13" s="12"/>
      <c r="C13" s="14"/>
      <c r="D13" s="12"/>
    </row>
    <row r="14" spans="1:4">
      <c r="A14" s="14"/>
      <c r="B14" s="12"/>
      <c r="C14" s="14"/>
      <c r="D14" s="12"/>
    </row>
    <row r="15" spans="1:4">
      <c r="A15" s="14"/>
      <c r="B15" s="12"/>
      <c r="C15" s="14"/>
      <c r="D15" s="12"/>
    </row>
    <row r="16" spans="1:4">
      <c r="A16" s="14"/>
      <c r="B16" s="12"/>
      <c r="C16" s="14"/>
      <c r="D16" s="12"/>
    </row>
    <row r="17" spans="1:4">
      <c r="A17" s="14"/>
      <c r="B17" s="12"/>
      <c r="C17" s="14"/>
      <c r="D17" s="12"/>
    </row>
    <row r="18" spans="1:4">
      <c r="A18" s="14"/>
      <c r="B18" s="12"/>
      <c r="C18" s="14"/>
      <c r="D18" s="12"/>
    </row>
    <row r="19" spans="1:4">
      <c r="A19" s="14"/>
      <c r="B19" s="12"/>
      <c r="C19" s="14"/>
      <c r="D19" s="12"/>
    </row>
    <row r="20" spans="1:4">
      <c r="A20" s="14"/>
      <c r="B20" s="12"/>
      <c r="C20" s="14"/>
      <c r="D20" s="12"/>
    </row>
    <row r="21" spans="1:4">
      <c r="A21" s="14"/>
      <c r="B21" s="12"/>
      <c r="C21" s="14"/>
      <c r="D21" s="12"/>
    </row>
    <row r="22" spans="1:4">
      <c r="A22" s="14"/>
      <c r="B22" s="12"/>
      <c r="C22" s="14"/>
      <c r="D22" s="12"/>
    </row>
    <row r="23" spans="1:4">
      <c r="A23" s="14"/>
      <c r="B23" s="12"/>
      <c r="C23" s="14"/>
      <c r="D23" s="12"/>
    </row>
    <row r="24" spans="1:4">
      <c r="A24" s="14"/>
      <c r="B24" s="12"/>
      <c r="C24" s="14"/>
      <c r="D24" s="12"/>
    </row>
    <row r="25" spans="1:4">
      <c r="B25" s="12"/>
      <c r="D25" s="12"/>
    </row>
    <row r="26" spans="1:4">
      <c r="B26" s="12"/>
      <c r="D26" s="12"/>
    </row>
    <row r="27" spans="1:4">
      <c r="B27" s="12"/>
      <c r="D27" s="12"/>
    </row>
    <row r="28" spans="1:4">
      <c r="D28" s="12"/>
    </row>
    <row r="29" spans="1:4">
      <c r="D29" s="12"/>
    </row>
  </sheetData>
  <mergeCells count="1">
    <mergeCell ref="A1:D1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5"/>
  <sheetViews>
    <sheetView zoomScaleNormal="100" workbookViewId="0">
      <selection activeCell="A12" sqref="A12"/>
    </sheetView>
  </sheetViews>
  <sheetFormatPr baseColWidth="10" defaultColWidth="8.7265625" defaultRowHeight="14.5"/>
  <cols>
    <col min="1" max="1" width="7.54296875" customWidth="1"/>
    <col min="2" max="2" width="17.81640625" style="2" customWidth="1"/>
    <col min="3" max="3" width="25.1796875" customWidth="1"/>
    <col min="4" max="4" width="11.81640625" customWidth="1"/>
    <col min="5" max="5" width="11.453125" customWidth="1"/>
    <col min="6" max="6" width="30.453125" customWidth="1"/>
    <col min="7" max="7" width="25.81640625" style="2" customWidth="1"/>
    <col min="8" max="8" width="15.1796875" customWidth="1"/>
    <col min="9" max="9" width="11.1796875" style="2" customWidth="1"/>
    <col min="10" max="10" width="14.81640625" customWidth="1"/>
  </cols>
  <sheetData>
    <row r="1" spans="1:8" ht="15.5">
      <c r="A1" s="209" t="s">
        <v>0</v>
      </c>
      <c r="B1" s="209"/>
      <c r="C1" s="209"/>
      <c r="D1" s="3"/>
      <c r="E1" s="4"/>
      <c r="F1" s="4"/>
      <c r="G1" s="5"/>
      <c r="H1" s="5"/>
    </row>
    <row r="2" spans="1:8" ht="15.5">
      <c r="A2" s="6" t="s">
        <v>1</v>
      </c>
      <c r="B2" s="7" t="s">
        <v>2</v>
      </c>
      <c r="C2" s="6" t="s">
        <v>3</v>
      </c>
      <c r="D2" s="3"/>
      <c r="E2" s="4"/>
      <c r="F2" s="4"/>
      <c r="G2" s="210" t="s">
        <v>4</v>
      </c>
      <c r="H2" s="210"/>
    </row>
    <row r="3" spans="1:8" ht="15.5">
      <c r="A3" s="8">
        <v>45519</v>
      </c>
      <c r="B3" s="9">
        <v>7600</v>
      </c>
      <c r="C3" s="3" t="s">
        <v>71</v>
      </c>
      <c r="D3" s="10">
        <f>+B3</f>
        <v>7600</v>
      </c>
      <c r="E3" s="4"/>
      <c r="F3" s="4"/>
      <c r="G3" s="9" t="s">
        <v>6</v>
      </c>
      <c r="H3" s="9">
        <v>20000</v>
      </c>
    </row>
    <row r="4" spans="1:8" ht="15.5">
      <c r="A4" s="8">
        <v>45519</v>
      </c>
      <c r="B4" s="2">
        <v>7000</v>
      </c>
      <c r="C4" t="s">
        <v>72</v>
      </c>
      <c r="D4" s="11">
        <f>+D3+B4</f>
        <v>14600</v>
      </c>
      <c r="E4" s="4"/>
      <c r="F4" s="4"/>
      <c r="G4" s="9" t="s">
        <v>7</v>
      </c>
      <c r="H4" s="9">
        <v>30000</v>
      </c>
    </row>
    <row r="5" spans="1:8" ht="15.5">
      <c r="A5" s="8">
        <v>45512</v>
      </c>
      <c r="B5" s="9">
        <v>4000</v>
      </c>
      <c r="C5" s="3" t="s">
        <v>73</v>
      </c>
      <c r="D5" s="11">
        <f>+D4+B5</f>
        <v>18600</v>
      </c>
      <c r="E5" s="4"/>
      <c r="F5" s="4"/>
      <c r="G5" s="9" t="s">
        <v>9</v>
      </c>
      <c r="H5" s="9">
        <v>40000</v>
      </c>
    </row>
    <row r="6" spans="1:8" ht="15.5">
      <c r="A6" s="8">
        <v>45515</v>
      </c>
      <c r="B6" s="9">
        <f>2500+3000+1000</f>
        <v>6500</v>
      </c>
      <c r="C6" s="3" t="s">
        <v>74</v>
      </c>
      <c r="D6" s="11">
        <f>+D5+B6</f>
        <v>25100</v>
      </c>
      <c r="E6" s="4"/>
      <c r="F6" s="4"/>
      <c r="G6" s="9" t="s">
        <v>11</v>
      </c>
      <c r="H6" s="9">
        <v>5000</v>
      </c>
    </row>
    <row r="7" spans="1:8" ht="15.5">
      <c r="A7" s="8">
        <v>45523</v>
      </c>
      <c r="B7" s="9">
        <v>-2995</v>
      </c>
      <c r="C7" s="3" t="s">
        <v>75</v>
      </c>
      <c r="D7" s="11"/>
      <c r="E7" s="4"/>
      <c r="F7" s="4"/>
      <c r="G7" s="9"/>
      <c r="H7" s="9"/>
    </row>
    <row r="8" spans="1:8" ht="15.5">
      <c r="A8" s="8">
        <v>45521</v>
      </c>
      <c r="B8" s="9">
        <v>-5000</v>
      </c>
      <c r="C8" s="3" t="s">
        <v>76</v>
      </c>
      <c r="D8" s="11"/>
      <c r="E8" s="4"/>
      <c r="F8" s="4"/>
      <c r="G8" s="9" t="s">
        <v>13</v>
      </c>
      <c r="H8" s="9">
        <v>3000</v>
      </c>
    </row>
    <row r="9" spans="1:8" ht="15.5">
      <c r="A9" s="8">
        <v>45519</v>
      </c>
      <c r="B9" s="12">
        <v>-5000</v>
      </c>
      <c r="C9" s="3" t="s">
        <v>72</v>
      </c>
      <c r="D9" s="11"/>
      <c r="E9" s="4"/>
      <c r="F9" s="4"/>
      <c r="G9" s="9" t="s">
        <v>15</v>
      </c>
      <c r="H9" s="9">
        <v>5000</v>
      </c>
    </row>
    <row r="10" spans="1:8" ht="15.5">
      <c r="A10" s="8">
        <v>45534</v>
      </c>
      <c r="B10" s="9">
        <v>-7000</v>
      </c>
      <c r="C10" s="3" t="s">
        <v>72</v>
      </c>
      <c r="D10" s="11">
        <v>20000</v>
      </c>
      <c r="E10" s="4" t="s">
        <v>17</v>
      </c>
      <c r="F10" s="4"/>
      <c r="G10" s="9" t="s">
        <v>18</v>
      </c>
      <c r="H10" s="9">
        <v>1500</v>
      </c>
    </row>
    <row r="11" spans="1:8" ht="15.5">
      <c r="A11" s="13">
        <v>45533</v>
      </c>
      <c r="B11" s="12">
        <v>-12000</v>
      </c>
      <c r="C11" s="3" t="s">
        <v>71</v>
      </c>
      <c r="D11" s="11">
        <v>2000</v>
      </c>
      <c r="E11" s="4"/>
      <c r="F11" s="4"/>
      <c r="G11" s="9" t="s">
        <v>19</v>
      </c>
      <c r="H11" s="9">
        <v>10000</v>
      </c>
    </row>
    <row r="12" spans="1:8" ht="15.5">
      <c r="A12" s="13"/>
      <c r="B12" s="12"/>
      <c r="C12" s="3"/>
      <c r="D12" s="11"/>
      <c r="E12" s="4"/>
      <c r="F12" s="4"/>
      <c r="G12" s="9" t="s">
        <v>21</v>
      </c>
      <c r="H12" s="9">
        <v>1500</v>
      </c>
    </row>
    <row r="13" spans="1:8" ht="15.5">
      <c r="A13" s="13"/>
      <c r="B13" s="12"/>
      <c r="C13" s="14"/>
      <c r="D13" s="11">
        <v>11000</v>
      </c>
      <c r="E13" s="4"/>
      <c r="F13" s="4"/>
      <c r="G13" s="9" t="s">
        <v>23</v>
      </c>
      <c r="H13" s="9">
        <v>25000</v>
      </c>
    </row>
    <row r="14" spans="1:8" ht="15.5">
      <c r="A14" s="13"/>
      <c r="B14" s="12"/>
      <c r="C14" s="14"/>
      <c r="D14" s="11">
        <f>+D13*1.33</f>
        <v>14630</v>
      </c>
      <c r="E14" s="4"/>
      <c r="F14" s="4"/>
      <c r="G14" s="9" t="s">
        <v>25</v>
      </c>
      <c r="H14" s="9">
        <v>1500</v>
      </c>
    </row>
    <row r="15" spans="1:8" ht="15.5">
      <c r="A15" s="14"/>
      <c r="B15" s="12"/>
      <c r="C15" s="14"/>
      <c r="D15" s="11"/>
      <c r="E15" s="4"/>
      <c r="F15" s="4"/>
      <c r="G15" s="9"/>
      <c r="H15" s="9"/>
    </row>
    <row r="16" spans="1:8" ht="15.5">
      <c r="A16" s="8"/>
      <c r="B16" s="12"/>
      <c r="C16" s="14"/>
      <c r="D16" s="11"/>
      <c r="E16" s="4"/>
      <c r="F16" s="4"/>
      <c r="G16" s="9"/>
      <c r="H16" s="9"/>
    </row>
    <row r="17" spans="1:8" ht="15.5">
      <c r="A17" s="8"/>
      <c r="B17" s="12"/>
      <c r="C17" s="14"/>
      <c r="D17" s="11"/>
      <c r="E17" s="4"/>
      <c r="F17" s="4"/>
      <c r="G17" s="15" t="s">
        <v>27</v>
      </c>
      <c r="H17" s="15">
        <f>SUM(H3:H15)</f>
        <v>142500</v>
      </c>
    </row>
    <row r="18" spans="1:8" ht="15.5">
      <c r="A18" s="8"/>
      <c r="B18" s="9"/>
      <c r="C18" s="3"/>
      <c r="D18" s="11"/>
      <c r="E18" s="4"/>
      <c r="F18" s="4"/>
      <c r="G18" s="5" t="s">
        <v>29</v>
      </c>
      <c r="H18" s="5">
        <f>+H17/54</f>
        <v>2638.8888888888887</v>
      </c>
    </row>
    <row r="19" spans="1:8" ht="15.5">
      <c r="A19" s="8"/>
      <c r="B19" s="9"/>
      <c r="C19" s="3"/>
      <c r="D19" s="11"/>
      <c r="E19" s="4"/>
      <c r="F19" s="4"/>
      <c r="G19" s="5"/>
      <c r="H19" s="5"/>
    </row>
    <row r="20" spans="1:8" ht="15.5">
      <c r="A20" s="8"/>
      <c r="B20" s="12"/>
      <c r="C20" s="3"/>
      <c r="D20" s="11"/>
      <c r="E20" s="4"/>
      <c r="F20" s="4"/>
      <c r="G20" s="5"/>
      <c r="H20" s="5"/>
    </row>
    <row r="21" spans="1:8" ht="15.5">
      <c r="A21" s="8"/>
      <c r="B21" s="5"/>
      <c r="C21" s="18"/>
      <c r="D21" s="11"/>
      <c r="E21" s="4"/>
      <c r="F21" s="4"/>
      <c r="G21" s="5" t="s">
        <v>77</v>
      </c>
      <c r="H21" s="5"/>
    </row>
    <row r="22" spans="1:8" ht="15.5">
      <c r="A22" s="8"/>
      <c r="B22" s="9"/>
      <c r="C22" s="3"/>
      <c r="D22" s="11"/>
      <c r="E22" s="4"/>
      <c r="F22" s="4"/>
      <c r="G22" s="5" t="s">
        <v>78</v>
      </c>
      <c r="H22" s="5">
        <f>1100*55</f>
        <v>60500</v>
      </c>
    </row>
    <row r="23" spans="1:8" ht="15.5">
      <c r="A23" s="8"/>
      <c r="B23" s="12"/>
      <c r="C23" s="14"/>
      <c r="D23" s="11"/>
      <c r="E23" s="4">
        <v>201000</v>
      </c>
      <c r="F23" s="4"/>
      <c r="G23" s="5" t="s">
        <v>79</v>
      </c>
      <c r="H23" s="5">
        <v>27000</v>
      </c>
    </row>
    <row r="24" spans="1:8" ht="15.5">
      <c r="A24" s="8"/>
      <c r="B24" s="12"/>
      <c r="C24" s="14"/>
      <c r="D24" s="11"/>
      <c r="E24" s="4"/>
      <c r="F24" s="4"/>
      <c r="G24" s="5"/>
      <c r="H24" s="5"/>
    </row>
    <row r="25" spans="1:8" ht="15.5">
      <c r="A25" s="8"/>
      <c r="B25" s="12"/>
      <c r="C25" s="14"/>
      <c r="D25" s="11"/>
      <c r="E25" s="4"/>
      <c r="F25" s="4"/>
      <c r="G25" s="5" t="s">
        <v>27</v>
      </c>
      <c r="H25" s="17">
        <f>SUM(H22:H24)</f>
        <v>87500</v>
      </c>
    </row>
    <row r="26" spans="1:8" ht="15.5">
      <c r="A26" s="8"/>
      <c r="B26" s="9"/>
      <c r="C26" s="3"/>
      <c r="D26" s="11"/>
      <c r="E26" s="4"/>
      <c r="F26" s="4"/>
      <c r="G26" s="5"/>
      <c r="H26" s="4"/>
    </row>
    <row r="27" spans="1:8" ht="15.5">
      <c r="A27" s="8"/>
      <c r="B27" s="9"/>
      <c r="C27" s="3"/>
      <c r="D27" s="11"/>
      <c r="E27" s="4"/>
      <c r="F27" s="4"/>
      <c r="G27" s="5"/>
      <c r="H27" s="4"/>
    </row>
    <row r="28" spans="1:8" ht="15.5">
      <c r="A28" s="8"/>
      <c r="B28" s="9"/>
      <c r="C28" s="3"/>
      <c r="D28" s="11"/>
      <c r="E28" s="4"/>
      <c r="F28" s="4" t="s">
        <v>80</v>
      </c>
      <c r="G28" s="5"/>
      <c r="H28" s="4"/>
    </row>
    <row r="29" spans="1:8" ht="15.5">
      <c r="A29" s="8"/>
      <c r="B29" s="5"/>
      <c r="C29" s="18"/>
      <c r="D29" s="11"/>
      <c r="E29" s="4"/>
      <c r="F29" s="4" t="s">
        <v>81</v>
      </c>
      <c r="G29" s="5">
        <f>4700*56</f>
        <v>263200</v>
      </c>
      <c r="H29" s="5"/>
    </row>
    <row r="30" spans="1:8" ht="15.5">
      <c r="A30" s="8"/>
      <c r="C30" s="18"/>
      <c r="D30" s="11"/>
      <c r="E30" s="4"/>
      <c r="F30" s="4" t="s">
        <v>82</v>
      </c>
      <c r="G30" s="5">
        <v>10000</v>
      </c>
      <c r="H30" s="5"/>
    </row>
    <row r="31" spans="1:8" ht="15.5">
      <c r="A31" s="8"/>
      <c r="B31" s="9"/>
      <c r="C31" s="3"/>
      <c r="D31" s="11"/>
      <c r="E31" s="4"/>
      <c r="F31" s="4" t="s">
        <v>83</v>
      </c>
      <c r="G31" s="5">
        <v>25000</v>
      </c>
      <c r="H31" s="5"/>
    </row>
    <row r="32" spans="1:8" ht="15.5">
      <c r="A32" s="8"/>
      <c r="B32" s="9"/>
      <c r="C32" s="3"/>
      <c r="D32" s="11"/>
      <c r="E32" s="4"/>
      <c r="F32" s="17" t="s">
        <v>84</v>
      </c>
      <c r="G32" s="5">
        <v>35000</v>
      </c>
      <c r="H32" s="5"/>
    </row>
    <row r="33" spans="1:8" ht="15.5">
      <c r="A33" s="8"/>
      <c r="C33" s="18"/>
      <c r="E33" s="4"/>
      <c r="F33" s="4" t="s">
        <v>85</v>
      </c>
      <c r="G33" s="5">
        <v>9000</v>
      </c>
      <c r="H33" s="5"/>
    </row>
    <row r="34" spans="1:8" ht="15.5">
      <c r="A34" s="8"/>
      <c r="B34" s="9"/>
      <c r="C34" s="3"/>
      <c r="D34" s="11"/>
      <c r="E34" s="4"/>
      <c r="F34" s="4" t="s">
        <v>86</v>
      </c>
      <c r="G34" s="5">
        <v>9000</v>
      </c>
      <c r="H34" s="5"/>
    </row>
    <row r="35" spans="1:8" ht="15.5">
      <c r="A35" s="13"/>
      <c r="B35" s="12"/>
      <c r="C35" s="14"/>
      <c r="E35" s="4"/>
      <c r="F35" s="4"/>
      <c r="G35" s="5"/>
      <c r="H35" s="5"/>
    </row>
    <row r="36" spans="1:8" ht="15.5">
      <c r="A36" s="14"/>
      <c r="B36" s="12"/>
      <c r="C36" s="14"/>
      <c r="D36" s="11"/>
      <c r="E36" s="4"/>
      <c r="F36" s="4"/>
      <c r="G36" s="5"/>
      <c r="H36" s="5"/>
    </row>
    <row r="37" spans="1:8" ht="15.5">
      <c r="A37" s="14"/>
      <c r="B37" s="12"/>
      <c r="C37" s="14"/>
      <c r="D37" s="11"/>
      <c r="E37" s="4"/>
      <c r="F37" s="4"/>
      <c r="G37" s="5"/>
      <c r="H37" s="5"/>
    </row>
    <row r="38" spans="1:8" ht="15.5">
      <c r="A38" s="14"/>
      <c r="B38" s="12"/>
      <c r="C38" s="14"/>
      <c r="D38" s="11"/>
      <c r="E38" s="4"/>
      <c r="F38" s="26" t="s">
        <v>87</v>
      </c>
      <c r="G38" s="26"/>
      <c r="H38" s="5"/>
    </row>
    <row r="39" spans="1:8" ht="15.5">
      <c r="A39" s="14"/>
      <c r="B39" s="12"/>
      <c r="C39" s="14"/>
      <c r="D39" s="11"/>
      <c r="E39" s="4"/>
      <c r="F39" s="26" t="s">
        <v>88</v>
      </c>
      <c r="G39" s="26" t="s">
        <v>89</v>
      </c>
      <c r="H39" s="5"/>
    </row>
    <row r="40" spans="1:8" ht="15.5">
      <c r="A40" s="14"/>
      <c r="B40" s="12"/>
      <c r="C40" s="14"/>
      <c r="D40" s="11"/>
      <c r="E40" s="4"/>
      <c r="F40" s="27">
        <v>1</v>
      </c>
      <c r="G40" s="26">
        <v>1163</v>
      </c>
      <c r="H40" s="5"/>
    </row>
    <row r="41" spans="1:8" ht="15.5">
      <c r="A41" s="8"/>
      <c r="B41" s="9"/>
      <c r="C41" s="3"/>
      <c r="D41" s="11"/>
      <c r="E41" s="4"/>
      <c r="F41" s="27">
        <v>2</v>
      </c>
      <c r="G41" s="26">
        <v>1133</v>
      </c>
      <c r="H41" s="5"/>
    </row>
    <row r="42" spans="1:8" ht="15.5">
      <c r="A42" s="12"/>
      <c r="B42" s="12"/>
      <c r="C42" s="12"/>
      <c r="D42" s="11"/>
      <c r="E42" s="4"/>
      <c r="F42" s="27">
        <v>3</v>
      </c>
      <c r="G42" s="26">
        <v>1150</v>
      </c>
      <c r="H42" s="5"/>
    </row>
    <row r="43" spans="1:8" ht="15.5">
      <c r="A43" s="12"/>
      <c r="B43" s="12"/>
      <c r="C43" s="12"/>
      <c r="D43" s="11"/>
      <c r="E43" s="4"/>
      <c r="F43" s="27">
        <v>4</v>
      </c>
      <c r="G43" s="26">
        <v>1233</v>
      </c>
      <c r="H43" s="5"/>
    </row>
    <row r="44" spans="1:8" ht="15.5">
      <c r="A44" s="12"/>
      <c r="B44" s="12"/>
      <c r="C44" s="12"/>
      <c r="D44" s="11"/>
      <c r="E44" s="4"/>
      <c r="F44" s="27">
        <v>5</v>
      </c>
      <c r="G44" s="26">
        <v>989</v>
      </c>
      <c r="H44" s="5"/>
    </row>
    <row r="45" spans="1:8" ht="15.5">
      <c r="A45" s="12"/>
      <c r="B45" s="12"/>
      <c r="C45" s="12"/>
      <c r="D45" s="11"/>
      <c r="E45" s="4"/>
      <c r="F45" s="27">
        <v>6</v>
      </c>
      <c r="G45" s="26">
        <v>953</v>
      </c>
      <c r="H45" s="5"/>
    </row>
    <row r="46" spans="1:8" ht="15.5">
      <c r="A46" s="12"/>
      <c r="B46" s="12"/>
      <c r="C46" s="12"/>
      <c r="D46" s="11"/>
      <c r="E46" s="4"/>
      <c r="F46" s="27">
        <v>7</v>
      </c>
      <c r="G46" s="26">
        <v>864</v>
      </c>
      <c r="H46" s="5"/>
    </row>
    <row r="47" spans="1:8" ht="15.5">
      <c r="A47" s="12"/>
      <c r="B47" s="12"/>
      <c r="C47" s="12"/>
      <c r="D47" s="11"/>
      <c r="E47" s="4"/>
      <c r="F47" s="27">
        <v>8</v>
      </c>
      <c r="G47" s="26">
        <v>710</v>
      </c>
      <c r="H47" s="5"/>
    </row>
    <row r="48" spans="1:8" ht="15.5">
      <c r="A48" s="12"/>
      <c r="B48" s="12"/>
      <c r="C48" s="12"/>
      <c r="D48" s="11"/>
      <c r="E48" s="4"/>
      <c r="F48" s="28"/>
      <c r="G48" s="26"/>
      <c r="H48" s="5"/>
    </row>
    <row r="49" spans="1:8" ht="15.5">
      <c r="A49" s="12"/>
      <c r="B49" s="12"/>
      <c r="C49" s="12"/>
      <c r="D49" s="11"/>
      <c r="E49" s="4">
        <v>70000</v>
      </c>
      <c r="F49" s="26"/>
      <c r="G49" s="26">
        <f>SUM(G40:G48)</f>
        <v>8195</v>
      </c>
      <c r="H49" s="5"/>
    </row>
    <row r="50" spans="1:8" ht="15.5">
      <c r="A50" s="12"/>
      <c r="B50" s="12"/>
      <c r="C50" s="12"/>
      <c r="D50" s="11"/>
      <c r="E50" s="4">
        <v>65000</v>
      </c>
      <c r="F50" s="4"/>
      <c r="G50" s="5"/>
      <c r="H50" s="5"/>
    </row>
    <row r="51" spans="1:8" ht="15.5">
      <c r="A51" s="12"/>
      <c r="B51" s="12"/>
      <c r="C51" s="12"/>
      <c r="D51" s="11"/>
      <c r="E51" s="4"/>
      <c r="F51" s="4"/>
      <c r="G51" s="5"/>
      <c r="H51" s="5"/>
    </row>
    <row r="52" spans="1:8" ht="15.5">
      <c r="A52" s="8"/>
      <c r="B52" s="9"/>
      <c r="C52" s="3"/>
      <c r="D52" s="11"/>
      <c r="E52" s="4">
        <f>SUM(E49:E51)</f>
        <v>135000</v>
      </c>
      <c r="F52" s="4"/>
      <c r="G52" s="5"/>
      <c r="H52" s="5"/>
    </row>
    <row r="53" spans="1:8" ht="15.5">
      <c r="A53" s="8"/>
      <c r="B53" s="9"/>
      <c r="C53" s="3"/>
      <c r="D53" s="11"/>
      <c r="E53" s="4"/>
      <c r="F53" s="4"/>
      <c r="G53" s="5"/>
      <c r="H53" s="5">
        <v>50000</v>
      </c>
    </row>
    <row r="54" spans="1:8" ht="15.5">
      <c r="A54" s="8"/>
      <c r="B54" s="9"/>
      <c r="C54" s="3"/>
      <c r="D54" s="11"/>
      <c r="E54" s="4"/>
      <c r="F54" s="4"/>
      <c r="G54" s="5"/>
      <c r="H54" s="5">
        <v>80000</v>
      </c>
    </row>
    <row r="55" spans="1:8" ht="15.5">
      <c r="A55" s="8"/>
      <c r="B55" s="9"/>
      <c r="C55" s="3"/>
      <c r="D55" s="11"/>
      <c r="E55" s="4"/>
      <c r="F55" s="4"/>
      <c r="G55" s="5"/>
      <c r="H55" s="5"/>
    </row>
    <row r="56" spans="1:8" ht="15.5">
      <c r="A56" s="8"/>
      <c r="B56" s="9"/>
      <c r="C56" s="3"/>
      <c r="D56" s="11"/>
      <c r="E56" s="4"/>
      <c r="F56" s="4"/>
      <c r="G56" s="5"/>
      <c r="H56" s="5"/>
    </row>
    <row r="57" spans="1:8" ht="15.5">
      <c r="A57" s="8"/>
      <c r="B57" s="9"/>
      <c r="C57" s="3"/>
      <c r="D57" s="11"/>
      <c r="E57" s="4"/>
      <c r="F57" s="4"/>
      <c r="G57" s="5"/>
      <c r="H57" s="5"/>
    </row>
    <row r="58" spans="1:8" ht="15.5">
      <c r="A58" s="8"/>
      <c r="B58" s="9"/>
      <c r="C58" s="3"/>
      <c r="D58" s="11"/>
      <c r="E58" s="4"/>
      <c r="F58" s="4"/>
      <c r="G58" s="5"/>
      <c r="H58" s="5"/>
    </row>
    <row r="59" spans="1:8" ht="15.5">
      <c r="A59" s="8"/>
      <c r="B59" s="9"/>
      <c r="C59" s="3"/>
      <c r="D59" s="11"/>
      <c r="E59" s="4"/>
      <c r="F59" s="4"/>
      <c r="G59" s="5"/>
      <c r="H59" s="5"/>
    </row>
    <row r="60" spans="1:8" ht="15.5">
      <c r="A60" s="8"/>
      <c r="B60" s="9"/>
      <c r="C60" s="3"/>
      <c r="D60" s="11"/>
      <c r="E60" s="4"/>
      <c r="F60" s="4"/>
      <c r="G60" s="5"/>
      <c r="H60" s="5"/>
    </row>
    <row r="61" spans="1:8" ht="15.5">
      <c r="A61" s="8"/>
      <c r="B61" s="9"/>
      <c r="C61" s="3"/>
      <c r="D61" s="11"/>
      <c r="E61" s="4"/>
      <c r="F61" s="4"/>
      <c r="G61" s="5"/>
      <c r="H61" s="5"/>
    </row>
    <row r="62" spans="1:8" ht="15.5">
      <c r="A62" s="8"/>
      <c r="B62" s="9"/>
      <c r="C62" s="3"/>
      <c r="D62" s="22"/>
      <c r="E62" s="4"/>
      <c r="F62" s="4"/>
      <c r="G62" s="5"/>
      <c r="H62" s="5"/>
    </row>
    <row r="63" spans="1:8" ht="15.5">
      <c r="A63" s="8"/>
      <c r="B63" s="9"/>
      <c r="C63" s="3"/>
      <c r="D63" s="22"/>
      <c r="E63" s="4"/>
      <c r="F63" s="4"/>
      <c r="G63" s="5"/>
      <c r="H63" s="5"/>
    </row>
    <row r="64" spans="1:8" ht="15.5">
      <c r="A64" s="8"/>
      <c r="B64" s="9"/>
      <c r="C64" s="3"/>
      <c r="D64" s="22"/>
      <c r="E64" s="4"/>
      <c r="F64" s="4"/>
      <c r="G64" s="5"/>
      <c r="H64" s="5"/>
    </row>
    <row r="65" spans="1:10" ht="15.5">
      <c r="A65" s="8"/>
      <c r="B65" s="9"/>
      <c r="C65" s="3"/>
      <c r="D65" s="22"/>
      <c r="E65" s="4"/>
      <c r="F65" s="4"/>
      <c r="G65" s="5"/>
      <c r="H65" s="5"/>
    </row>
    <row r="66" spans="1:10" ht="15.5">
      <c r="A66" s="8"/>
      <c r="B66" s="9"/>
      <c r="C66" s="3"/>
      <c r="D66" s="22"/>
      <c r="E66" s="4"/>
      <c r="F66" s="4"/>
      <c r="G66" s="5"/>
      <c r="H66" s="5"/>
    </row>
    <row r="67" spans="1:10" ht="15.5">
      <c r="A67" s="8"/>
      <c r="B67" s="9"/>
      <c r="C67" s="3"/>
      <c r="D67" s="22"/>
      <c r="E67" s="4"/>
      <c r="F67" s="4"/>
      <c r="G67" s="5"/>
      <c r="H67" s="5"/>
    </row>
    <row r="68" spans="1:10" ht="15.5">
      <c r="A68" s="8"/>
      <c r="B68" s="9"/>
      <c r="C68" s="3"/>
      <c r="D68" s="22"/>
      <c r="E68" s="4"/>
      <c r="F68" s="4"/>
      <c r="G68" s="5"/>
      <c r="H68" s="5"/>
    </row>
    <row r="69" spans="1:10" ht="15.5">
      <c r="A69" s="8"/>
      <c r="B69" s="9"/>
      <c r="C69" s="3"/>
      <c r="D69" s="22"/>
      <c r="E69" s="4"/>
      <c r="F69" s="4"/>
      <c r="G69" s="5"/>
      <c r="H69" s="5"/>
    </row>
    <row r="70" spans="1:10" ht="15.5">
      <c r="A70" s="8">
        <v>45232</v>
      </c>
      <c r="B70" s="12"/>
      <c r="C70" s="14" t="s">
        <v>30</v>
      </c>
      <c r="D70" s="10">
        <f t="shared" ref="D70:D101" si="0">+D69+B70</f>
        <v>0</v>
      </c>
      <c r="E70" s="4"/>
      <c r="F70" s="4"/>
      <c r="G70" s="5"/>
      <c r="H70" s="5"/>
    </row>
    <row r="71" spans="1:10" ht="15.5">
      <c r="A71" s="8">
        <v>45232</v>
      </c>
      <c r="B71" s="12"/>
      <c r="C71" s="14" t="s">
        <v>19</v>
      </c>
      <c r="D71" s="10">
        <f t="shared" si="0"/>
        <v>0</v>
      </c>
      <c r="E71" s="4"/>
      <c r="F71" s="4"/>
      <c r="G71" s="5"/>
      <c r="H71" s="5"/>
    </row>
    <row r="72" spans="1:10" ht="15.5">
      <c r="A72" s="8">
        <v>45233</v>
      </c>
      <c r="B72" s="9">
        <v>-500</v>
      </c>
      <c r="C72" s="3" t="s">
        <v>31</v>
      </c>
      <c r="D72" s="10">
        <f t="shared" si="0"/>
        <v>-500</v>
      </c>
      <c r="E72" s="4"/>
      <c r="F72" s="4"/>
      <c r="G72" s="5"/>
      <c r="H72" s="5"/>
      <c r="J72" s="2"/>
    </row>
    <row r="73" spans="1:10" ht="15.5">
      <c r="A73" s="8">
        <v>45234</v>
      </c>
      <c r="B73" s="2">
        <v>-2300</v>
      </c>
      <c r="C73" s="16" t="s">
        <v>6</v>
      </c>
      <c r="D73" s="10">
        <f t="shared" si="0"/>
        <v>-2800</v>
      </c>
      <c r="E73" s="4"/>
      <c r="F73" s="4"/>
      <c r="G73" s="5"/>
      <c r="H73" s="5"/>
    </row>
    <row r="74" spans="1:10" ht="15.5">
      <c r="A74" s="8">
        <v>45234</v>
      </c>
      <c r="B74" s="12">
        <v>-1300</v>
      </c>
      <c r="C74" s="14" t="s">
        <v>32</v>
      </c>
      <c r="D74" s="10">
        <f t="shared" si="0"/>
        <v>-4100</v>
      </c>
      <c r="E74" s="4"/>
      <c r="F74" s="4"/>
      <c r="G74" s="5">
        <f>SUM(G29:G73)</f>
        <v>367590</v>
      </c>
      <c r="H74" s="5"/>
    </row>
    <row r="75" spans="1:10" ht="15.5">
      <c r="A75" s="8">
        <v>45234</v>
      </c>
      <c r="B75" s="12">
        <v>-1200</v>
      </c>
      <c r="C75" s="14" t="s">
        <v>33</v>
      </c>
      <c r="D75" s="10">
        <f t="shared" si="0"/>
        <v>-5300</v>
      </c>
      <c r="E75" s="4"/>
      <c r="F75" s="4"/>
      <c r="G75" s="5"/>
      <c r="H75" s="5"/>
      <c r="J75" s="11"/>
    </row>
    <row r="76" spans="1:10" ht="15.5">
      <c r="A76" s="8">
        <v>45235</v>
      </c>
      <c r="B76" s="9">
        <f>-300*56</f>
        <v>-16800</v>
      </c>
      <c r="C76" s="3" t="s">
        <v>34</v>
      </c>
      <c r="D76" s="10">
        <f t="shared" si="0"/>
        <v>-22100</v>
      </c>
      <c r="E76" s="4"/>
      <c r="F76" s="4"/>
      <c r="G76" s="5"/>
      <c r="H76" s="5"/>
    </row>
    <row r="77" spans="1:10" ht="15.5">
      <c r="A77" s="8">
        <v>45238</v>
      </c>
      <c r="B77" s="9">
        <v>-600</v>
      </c>
      <c r="C77" s="3" t="s">
        <v>35</v>
      </c>
      <c r="D77" s="10">
        <f t="shared" si="0"/>
        <v>-22700</v>
      </c>
      <c r="E77" s="4"/>
      <c r="F77" s="4"/>
      <c r="G77" s="5"/>
      <c r="H77" s="5"/>
    </row>
    <row r="78" spans="1:10" ht="15.5">
      <c r="A78" s="8">
        <v>45238</v>
      </c>
      <c r="B78" s="9"/>
      <c r="C78" s="3" t="s">
        <v>36</v>
      </c>
      <c r="D78" s="10">
        <f t="shared" si="0"/>
        <v>-22700</v>
      </c>
      <c r="E78" s="4"/>
      <c r="F78" s="4"/>
      <c r="G78" s="5"/>
      <c r="H78" s="5"/>
    </row>
    <row r="79" spans="1:10" ht="15.5">
      <c r="A79" s="8">
        <v>45238</v>
      </c>
      <c r="B79" s="9"/>
      <c r="C79" s="3" t="s">
        <v>37</v>
      </c>
      <c r="D79" s="10">
        <f t="shared" si="0"/>
        <v>-22700</v>
      </c>
      <c r="E79" s="4"/>
      <c r="F79" s="17"/>
      <c r="G79" s="5"/>
      <c r="H79" s="5"/>
    </row>
    <row r="80" spans="1:10" ht="15.5">
      <c r="A80" s="8">
        <v>45234</v>
      </c>
      <c r="B80" s="9">
        <v>-1424</v>
      </c>
      <c r="C80" s="3" t="s">
        <v>38</v>
      </c>
      <c r="D80" s="10">
        <f t="shared" si="0"/>
        <v>-24124</v>
      </c>
      <c r="E80" s="4"/>
      <c r="F80" s="4"/>
      <c r="G80" s="5"/>
      <c r="H80" s="5"/>
    </row>
    <row r="81" spans="1:10" ht="15.5">
      <c r="A81" s="8">
        <v>45238</v>
      </c>
      <c r="B81" s="9"/>
      <c r="C81" s="3"/>
      <c r="D81" s="10">
        <f t="shared" si="0"/>
        <v>-24124</v>
      </c>
      <c r="E81" s="4"/>
      <c r="F81" s="4"/>
      <c r="G81" s="5"/>
      <c r="H81" s="5"/>
    </row>
    <row r="82" spans="1:10" ht="15.5">
      <c r="A82" s="8">
        <v>45240</v>
      </c>
      <c r="B82" s="2">
        <v>-1000</v>
      </c>
      <c r="C82" s="18" t="s">
        <v>31</v>
      </c>
      <c r="D82" s="10">
        <f t="shared" si="0"/>
        <v>-25124</v>
      </c>
      <c r="E82" s="4"/>
      <c r="F82" s="4"/>
      <c r="G82" s="5"/>
      <c r="H82" s="5"/>
    </row>
    <row r="83" spans="1:10" ht="15.5">
      <c r="A83" s="8">
        <v>45239</v>
      </c>
      <c r="B83" s="9">
        <v>-500</v>
      </c>
      <c r="C83" s="3" t="s">
        <v>37</v>
      </c>
      <c r="D83" s="10">
        <f t="shared" si="0"/>
        <v>-25624</v>
      </c>
      <c r="E83" s="4"/>
      <c r="F83" s="4"/>
      <c r="G83" s="5"/>
      <c r="H83" s="5"/>
    </row>
    <row r="84" spans="1:10" ht="15.5">
      <c r="A84" s="8">
        <v>45237</v>
      </c>
      <c r="B84" s="9">
        <v>-2400</v>
      </c>
      <c r="C84" s="3" t="s">
        <v>6</v>
      </c>
      <c r="D84" s="10">
        <f t="shared" si="0"/>
        <v>-28024</v>
      </c>
      <c r="E84" s="4"/>
      <c r="F84" s="4"/>
      <c r="G84" s="5"/>
      <c r="H84" s="5"/>
      <c r="J84" s="11">
        <v>284865</v>
      </c>
    </row>
    <row r="85" spans="1:10" ht="15.5">
      <c r="A85" s="8">
        <v>45237</v>
      </c>
      <c r="B85" s="9">
        <v>-1097</v>
      </c>
      <c r="C85" s="3" t="s">
        <v>33</v>
      </c>
      <c r="D85" s="10">
        <f t="shared" si="0"/>
        <v>-29121</v>
      </c>
      <c r="E85" s="4"/>
      <c r="F85" s="4" t="s">
        <v>39</v>
      </c>
      <c r="G85" s="2">
        <v>385000</v>
      </c>
      <c r="H85" s="5"/>
    </row>
    <row r="86" spans="1:10" ht="15.5">
      <c r="A86" s="8">
        <v>45237</v>
      </c>
      <c r="B86" s="9">
        <v>-1150</v>
      </c>
      <c r="C86" s="3" t="s">
        <v>40</v>
      </c>
      <c r="D86" s="10">
        <f t="shared" si="0"/>
        <v>-30271</v>
      </c>
      <c r="E86" s="4"/>
      <c r="F86" s="4" t="s">
        <v>41</v>
      </c>
      <c r="G86" s="2">
        <v>-3133.64</v>
      </c>
      <c r="H86" s="5"/>
    </row>
    <row r="87" spans="1:10" ht="15.5">
      <c r="A87" s="8">
        <v>45237</v>
      </c>
      <c r="B87" s="9">
        <v>-731</v>
      </c>
      <c r="C87" s="3" t="s">
        <v>42</v>
      </c>
      <c r="D87" s="10">
        <f t="shared" si="0"/>
        <v>-31002</v>
      </c>
      <c r="E87" s="4"/>
      <c r="F87" s="19" t="s">
        <v>43</v>
      </c>
      <c r="G87" s="2">
        <v>-368.66</v>
      </c>
      <c r="H87" s="5"/>
    </row>
    <row r="88" spans="1:10" ht="15.5">
      <c r="A88" s="8">
        <v>45239</v>
      </c>
      <c r="B88" s="9">
        <v>-3050</v>
      </c>
      <c r="C88" s="3" t="s">
        <v>37</v>
      </c>
      <c r="D88" s="10">
        <f t="shared" si="0"/>
        <v>-34052</v>
      </c>
      <c r="E88" s="4"/>
      <c r="F88" s="4" t="s">
        <v>44</v>
      </c>
      <c r="G88" s="2">
        <v>-1163.1300000000001</v>
      </c>
      <c r="H88" s="5"/>
    </row>
    <row r="89" spans="1:10" ht="15.5">
      <c r="A89" s="8">
        <v>45239</v>
      </c>
      <c r="B89" s="9">
        <v>-1173</v>
      </c>
      <c r="C89" s="3" t="s">
        <v>37</v>
      </c>
      <c r="D89" s="10">
        <f t="shared" si="0"/>
        <v>-35225</v>
      </c>
      <c r="E89" s="4"/>
      <c r="F89" s="4" t="s">
        <v>45</v>
      </c>
      <c r="G89" s="2">
        <v>-553</v>
      </c>
      <c r="H89" s="5"/>
    </row>
    <row r="90" spans="1:10" ht="15.5">
      <c r="A90" s="20">
        <v>45258</v>
      </c>
      <c r="B90" s="2">
        <v>-670</v>
      </c>
      <c r="C90" s="18" t="s">
        <v>19</v>
      </c>
      <c r="D90" s="10">
        <f t="shared" si="0"/>
        <v>-35895</v>
      </c>
      <c r="E90" s="4"/>
      <c r="F90" s="4" t="s">
        <v>46</v>
      </c>
      <c r="G90" s="2">
        <v>-553</v>
      </c>
      <c r="H90" s="5"/>
    </row>
    <row r="91" spans="1:10" ht="15.5">
      <c r="A91" s="20">
        <v>45258</v>
      </c>
      <c r="B91" s="2">
        <v>-1412</v>
      </c>
      <c r="C91" s="18" t="s">
        <v>38</v>
      </c>
      <c r="D91" s="10">
        <f t="shared" si="0"/>
        <v>-37307</v>
      </c>
      <c r="E91" s="4"/>
      <c r="F91" s="4" t="s">
        <v>47</v>
      </c>
      <c r="G91" s="2">
        <v>-553</v>
      </c>
      <c r="H91" s="5"/>
    </row>
    <row r="92" spans="1:10" ht="15.5">
      <c r="A92" s="8">
        <v>45257</v>
      </c>
      <c r="B92" s="9">
        <v>-3000</v>
      </c>
      <c r="C92" s="3" t="s">
        <v>6</v>
      </c>
      <c r="D92" s="10">
        <f t="shared" si="0"/>
        <v>-40307</v>
      </c>
      <c r="E92" s="4"/>
      <c r="H92" s="5"/>
    </row>
    <row r="93" spans="1:10" ht="15.5">
      <c r="A93" s="8">
        <v>45257</v>
      </c>
      <c r="B93" s="9">
        <v>-265</v>
      </c>
      <c r="C93" s="3" t="s">
        <v>37</v>
      </c>
      <c r="D93" s="10">
        <f t="shared" si="0"/>
        <v>-40572</v>
      </c>
      <c r="E93" s="4"/>
      <c r="F93" s="4" t="s">
        <v>48</v>
      </c>
      <c r="G93" s="2">
        <f>SUM(G85:G91)</f>
        <v>378675.57</v>
      </c>
      <c r="H93" s="5"/>
    </row>
    <row r="94" spans="1:10" ht="15.5">
      <c r="A94" s="8">
        <v>45257</v>
      </c>
      <c r="B94" s="9">
        <v>-835.44</v>
      </c>
      <c r="C94" s="3"/>
      <c r="D94" s="10">
        <f t="shared" si="0"/>
        <v>-41407.440000000002</v>
      </c>
      <c r="E94" s="4"/>
      <c r="F94" s="4" t="s">
        <v>49</v>
      </c>
      <c r="G94" s="2">
        <f>+G93*0.25</f>
        <v>94668.892500000002</v>
      </c>
      <c r="H94" s="5"/>
    </row>
    <row r="95" spans="1:10" ht="15.5">
      <c r="A95" s="8">
        <v>45257</v>
      </c>
      <c r="B95" s="9">
        <v>-8849</v>
      </c>
      <c r="C95" s="3" t="s">
        <v>37</v>
      </c>
      <c r="D95" s="10">
        <f t="shared" si="0"/>
        <v>-50256.44</v>
      </c>
      <c r="E95" s="4"/>
      <c r="F95" s="4" t="s">
        <v>50</v>
      </c>
      <c r="G95" s="5">
        <v>-90000</v>
      </c>
      <c r="H95" s="5"/>
      <c r="J95" s="2"/>
    </row>
    <row r="96" spans="1:10" ht="15.5">
      <c r="A96" s="8">
        <v>45257</v>
      </c>
      <c r="B96" s="9"/>
      <c r="C96" s="3" t="s">
        <v>51</v>
      </c>
      <c r="D96" s="10">
        <f t="shared" si="0"/>
        <v>-50256.44</v>
      </c>
      <c r="E96" s="4"/>
      <c r="F96" s="4" t="s">
        <v>52</v>
      </c>
      <c r="G96" s="5">
        <f>SUM(G94:G95)</f>
        <v>4668.8925000000017</v>
      </c>
      <c r="H96" s="5"/>
    </row>
    <row r="97" spans="1:10" ht="15.5">
      <c r="A97" s="8">
        <v>45254</v>
      </c>
      <c r="B97" s="9">
        <v>-730</v>
      </c>
      <c r="C97" s="3" t="s">
        <v>53</v>
      </c>
      <c r="D97" s="10">
        <f t="shared" si="0"/>
        <v>-50986.44</v>
      </c>
      <c r="E97" s="4"/>
      <c r="F97" s="4"/>
      <c r="G97" s="5"/>
      <c r="H97" s="5"/>
    </row>
    <row r="98" spans="1:10" ht="15.5">
      <c r="A98" s="8">
        <v>45244</v>
      </c>
      <c r="B98" s="9">
        <v>-350</v>
      </c>
      <c r="C98" s="3" t="s">
        <v>53</v>
      </c>
      <c r="D98" s="10">
        <f t="shared" si="0"/>
        <v>-51336.44</v>
      </c>
      <c r="E98" s="4"/>
      <c r="F98" s="4"/>
      <c r="G98" s="5"/>
      <c r="H98" s="5"/>
      <c r="J98" s="11"/>
    </row>
    <row r="99" spans="1:10" ht="15.5">
      <c r="A99" s="8">
        <v>45243</v>
      </c>
      <c r="B99" s="9">
        <v>-2901</v>
      </c>
      <c r="C99" s="3" t="s">
        <v>6</v>
      </c>
      <c r="D99" s="10">
        <f t="shared" si="0"/>
        <v>-54237.440000000002</v>
      </c>
      <c r="E99" s="4"/>
      <c r="F99" s="4"/>
      <c r="G99" s="5"/>
      <c r="H99" s="5"/>
    </row>
    <row r="100" spans="1:10" ht="15.5">
      <c r="A100" s="8">
        <v>45240</v>
      </c>
      <c r="B100" s="9">
        <v>-1654</v>
      </c>
      <c r="C100" s="3" t="s">
        <v>38</v>
      </c>
      <c r="D100" s="10">
        <f t="shared" si="0"/>
        <v>-55891.44</v>
      </c>
      <c r="E100" s="4"/>
      <c r="F100" s="4"/>
      <c r="G100" s="5"/>
      <c r="H100" s="5">
        <v>284865</v>
      </c>
    </row>
    <row r="101" spans="1:10" ht="15.5">
      <c r="A101" s="8">
        <v>45239</v>
      </c>
      <c r="B101" s="9">
        <v>-2191</v>
      </c>
      <c r="C101" s="3" t="s">
        <v>37</v>
      </c>
      <c r="D101" s="10">
        <f t="shared" si="0"/>
        <v>-58082.44</v>
      </c>
      <c r="E101" s="4"/>
      <c r="F101" s="4"/>
      <c r="G101" s="5"/>
      <c r="H101" s="5">
        <v>90000</v>
      </c>
    </row>
    <row r="102" spans="1:10" ht="15.5">
      <c r="A102" s="8">
        <v>45257</v>
      </c>
      <c r="B102" s="9">
        <v>-3000</v>
      </c>
      <c r="C102" s="3" t="s">
        <v>31</v>
      </c>
      <c r="D102" s="10">
        <f t="shared" ref="D102:D118" si="1">+D101+B102</f>
        <v>-61082.44</v>
      </c>
      <c r="E102" s="4"/>
      <c r="F102" s="17">
        <f>SUM(B25:B100)</f>
        <v>-55891.44</v>
      </c>
      <c r="G102" s="5"/>
      <c r="H102" s="5">
        <v>5000</v>
      </c>
    </row>
    <row r="103" spans="1:10" ht="15.5">
      <c r="A103" s="8">
        <v>45257</v>
      </c>
      <c r="B103" s="9"/>
      <c r="C103" s="3" t="s">
        <v>54</v>
      </c>
      <c r="D103" s="10">
        <f t="shared" si="1"/>
        <v>-61082.44</v>
      </c>
      <c r="E103" s="4"/>
      <c r="F103" s="4"/>
      <c r="G103" s="5"/>
      <c r="H103" s="5">
        <f>SUM(H100:H102)</f>
        <v>379865</v>
      </c>
    </row>
    <row r="104" spans="1:10" ht="15.5">
      <c r="A104" s="8">
        <v>45257</v>
      </c>
      <c r="B104" s="9"/>
      <c r="C104" s="3" t="s">
        <v>55</v>
      </c>
      <c r="D104" s="10">
        <f t="shared" si="1"/>
        <v>-61082.44</v>
      </c>
      <c r="E104" s="4"/>
      <c r="F104" s="4"/>
      <c r="G104" s="5"/>
      <c r="H104" s="5"/>
    </row>
    <row r="105" spans="1:10" ht="15.5">
      <c r="A105" s="8">
        <v>45257</v>
      </c>
      <c r="B105" s="9">
        <v>-12000</v>
      </c>
      <c r="C105" s="3" t="s">
        <v>56</v>
      </c>
      <c r="D105" s="10">
        <f t="shared" si="1"/>
        <v>-73082.44</v>
      </c>
      <c r="E105" s="4"/>
      <c r="F105" s="4"/>
      <c r="G105" s="5"/>
      <c r="H105" s="5"/>
    </row>
    <row r="106" spans="1:10" ht="15.5">
      <c r="A106" s="8">
        <v>45260</v>
      </c>
      <c r="B106" s="9">
        <v>-2000</v>
      </c>
      <c r="C106" s="21" t="s">
        <v>31</v>
      </c>
      <c r="D106" s="10">
        <f t="shared" si="1"/>
        <v>-75082.44</v>
      </c>
      <c r="E106" s="4"/>
      <c r="F106" s="4"/>
      <c r="G106" s="5"/>
      <c r="H106" s="5"/>
    </row>
    <row r="107" spans="1:10" ht="15.5">
      <c r="A107" s="8">
        <v>45260</v>
      </c>
      <c r="B107" s="9">
        <v>-1000</v>
      </c>
      <c r="C107" s="3" t="s">
        <v>57</v>
      </c>
      <c r="D107" s="10">
        <f t="shared" si="1"/>
        <v>-76082.44</v>
      </c>
      <c r="E107" s="4"/>
      <c r="F107" s="4"/>
      <c r="G107" s="5"/>
      <c r="H107" s="5"/>
    </row>
    <row r="108" spans="1:10" ht="15.5">
      <c r="A108" s="8"/>
      <c r="B108" s="9"/>
      <c r="C108" s="3"/>
      <c r="D108" s="10">
        <f t="shared" si="1"/>
        <v>-76082.44</v>
      </c>
      <c r="E108" s="4"/>
      <c r="F108" s="4"/>
      <c r="G108" s="5"/>
      <c r="H108" s="5"/>
    </row>
    <row r="109" spans="1:10" ht="15.5">
      <c r="A109" s="8"/>
      <c r="B109" s="9"/>
      <c r="C109" s="3"/>
      <c r="D109" s="10">
        <f t="shared" si="1"/>
        <v>-76082.44</v>
      </c>
      <c r="E109" s="4"/>
      <c r="F109" s="4"/>
      <c r="G109" s="5"/>
      <c r="H109" s="5"/>
    </row>
    <row r="110" spans="1:10" ht="15.5">
      <c r="A110" s="8"/>
      <c r="B110" s="9"/>
      <c r="C110" s="3"/>
      <c r="D110" s="10">
        <f t="shared" si="1"/>
        <v>-76082.44</v>
      </c>
      <c r="E110" s="4"/>
      <c r="F110" s="4"/>
      <c r="G110" s="5"/>
      <c r="H110" s="5"/>
    </row>
    <row r="111" spans="1:10" ht="15.5">
      <c r="A111" s="8"/>
      <c r="B111" s="9">
        <f>SUM(B70:B110)</f>
        <v>-76082.44</v>
      </c>
      <c r="C111" s="3"/>
      <c r="D111" s="10">
        <f t="shared" si="1"/>
        <v>-152164.88</v>
      </c>
      <c r="E111" s="4"/>
      <c r="F111" s="4"/>
      <c r="G111" s="5"/>
      <c r="H111" s="5"/>
    </row>
    <row r="112" spans="1:10" ht="15.5">
      <c r="A112" s="8"/>
      <c r="B112" s="9"/>
      <c r="C112" s="3"/>
      <c r="D112" s="10">
        <f t="shared" si="1"/>
        <v>-152164.88</v>
      </c>
      <c r="E112" s="4"/>
      <c r="F112" s="4"/>
      <c r="G112" s="5"/>
      <c r="H112" s="5"/>
    </row>
    <row r="113" spans="1:8" ht="15.5">
      <c r="A113" s="8"/>
      <c r="B113" s="9"/>
      <c r="C113" s="3"/>
      <c r="D113" s="10">
        <f t="shared" si="1"/>
        <v>-152164.88</v>
      </c>
      <c r="E113" s="4"/>
      <c r="F113" s="4"/>
      <c r="G113" s="5"/>
      <c r="H113" s="5"/>
    </row>
    <row r="114" spans="1:8" ht="15.5">
      <c r="A114" s="8"/>
      <c r="B114" s="9"/>
      <c r="C114" s="3"/>
      <c r="D114" s="10">
        <f t="shared" si="1"/>
        <v>-152164.88</v>
      </c>
      <c r="E114" s="4"/>
      <c r="F114" s="4"/>
      <c r="G114" s="5"/>
      <c r="H114" s="5"/>
    </row>
    <row r="115" spans="1:8" ht="15.5">
      <c r="A115" s="8"/>
      <c r="B115" s="9">
        <f>SUM(B70:B114)</f>
        <v>-152164.88</v>
      </c>
      <c r="C115" s="3"/>
      <c r="D115" s="10">
        <f t="shared" si="1"/>
        <v>-304329.76</v>
      </c>
      <c r="E115" s="4"/>
      <c r="F115" s="4"/>
      <c r="G115" s="5"/>
      <c r="H115" s="5"/>
    </row>
    <row r="116" spans="1:8" ht="15.5">
      <c r="A116" s="8"/>
      <c r="B116" s="9"/>
      <c r="C116" s="3"/>
      <c r="D116" s="10">
        <f t="shared" si="1"/>
        <v>-304329.76</v>
      </c>
      <c r="E116" s="4"/>
      <c r="F116" s="4"/>
      <c r="G116" s="5"/>
      <c r="H116" s="5"/>
    </row>
    <row r="117" spans="1:8" ht="15.5">
      <c r="A117" s="8"/>
      <c r="B117" s="9"/>
      <c r="C117" s="3"/>
      <c r="D117" s="22">
        <f t="shared" si="1"/>
        <v>-304329.76</v>
      </c>
      <c r="E117" s="4"/>
      <c r="F117" s="4"/>
      <c r="G117" s="5"/>
      <c r="H117" s="5"/>
    </row>
    <row r="118" spans="1:8" ht="15.5">
      <c r="A118" s="8"/>
      <c r="B118" s="9"/>
      <c r="C118" s="3"/>
      <c r="D118" s="22">
        <f t="shared" si="1"/>
        <v>-304329.76</v>
      </c>
      <c r="E118" s="4"/>
      <c r="F118" s="4"/>
      <c r="G118" s="5"/>
      <c r="H118" s="5"/>
    </row>
    <row r="119" spans="1:8" ht="15.5">
      <c r="A119" s="8"/>
      <c r="B119" s="9"/>
      <c r="C119" s="3"/>
      <c r="D119" s="22"/>
      <c r="E119" s="4"/>
      <c r="F119" s="4"/>
      <c r="G119" s="5"/>
      <c r="H119" s="5"/>
    </row>
    <row r="120" spans="1:8" ht="15.5">
      <c r="A120" s="8"/>
      <c r="B120" s="9"/>
      <c r="C120" s="3"/>
      <c r="D120" s="22"/>
      <c r="E120" s="4"/>
      <c r="F120" s="4"/>
      <c r="G120" s="5"/>
      <c r="H120" s="5"/>
    </row>
    <row r="121" spans="1:8" ht="15.5">
      <c r="A121" s="8"/>
      <c r="B121" s="9"/>
      <c r="C121" s="3"/>
      <c r="D121" s="22"/>
      <c r="E121" s="4"/>
      <c r="F121" s="4"/>
      <c r="G121" s="5"/>
      <c r="H121" s="5"/>
    </row>
    <row r="122" spans="1:8" ht="15.5">
      <c r="A122" s="8"/>
      <c r="B122" s="9"/>
      <c r="C122" s="3"/>
      <c r="D122" s="22"/>
      <c r="E122" s="4"/>
      <c r="F122" s="4"/>
      <c r="G122" s="5"/>
      <c r="H122" s="5"/>
    </row>
    <row r="123" spans="1:8" ht="15.5">
      <c r="A123" s="8"/>
      <c r="B123" s="9"/>
      <c r="C123" s="3"/>
      <c r="D123" s="22"/>
      <c r="E123" s="4"/>
      <c r="F123" s="4"/>
      <c r="G123" s="5"/>
      <c r="H123" s="5"/>
    </row>
    <row r="124" spans="1:8" ht="15.5">
      <c r="A124" s="8"/>
      <c r="B124" s="9"/>
      <c r="C124" s="3"/>
      <c r="D124" s="22"/>
      <c r="E124" s="4"/>
      <c r="F124" s="4"/>
      <c r="G124" s="5"/>
      <c r="H124" s="5"/>
    </row>
    <row r="125" spans="1:8" ht="15.5">
      <c r="A125" s="8"/>
      <c r="B125" s="9"/>
      <c r="C125" s="3"/>
      <c r="D125" s="22"/>
      <c r="E125" s="4"/>
      <c r="F125" s="4"/>
      <c r="G125" s="5"/>
      <c r="H125" s="5"/>
    </row>
    <row r="126" spans="1:8" ht="15.5">
      <c r="A126" s="8"/>
      <c r="B126" s="9"/>
      <c r="C126" s="3"/>
      <c r="D126" s="22"/>
      <c r="E126" s="4"/>
      <c r="F126" s="4"/>
      <c r="G126" s="5"/>
      <c r="H126" s="5"/>
    </row>
    <row r="127" spans="1:8" ht="15.5">
      <c r="A127" s="8"/>
      <c r="B127" s="9"/>
      <c r="C127" s="3"/>
      <c r="D127" s="22"/>
      <c r="E127" s="4"/>
      <c r="F127" s="4"/>
      <c r="G127" s="5"/>
      <c r="H127" s="5"/>
    </row>
    <row r="128" spans="1:8" ht="15.5">
      <c r="A128" s="8"/>
      <c r="B128" s="9"/>
      <c r="C128" s="3"/>
      <c r="D128" s="22"/>
      <c r="E128" s="4"/>
      <c r="F128" s="4"/>
      <c r="G128" s="5"/>
      <c r="H128" s="5"/>
    </row>
    <row r="129" spans="1:8" ht="15.5">
      <c r="A129" s="8"/>
      <c r="B129" s="9"/>
      <c r="C129" s="3"/>
      <c r="D129" s="22"/>
      <c r="E129" s="4"/>
      <c r="F129" s="4"/>
      <c r="G129" s="5"/>
      <c r="H129" s="5"/>
    </row>
    <row r="130" spans="1:8" ht="15.5">
      <c r="A130" s="8"/>
      <c r="B130" s="9"/>
      <c r="C130" s="3"/>
      <c r="D130" s="22"/>
      <c r="E130" s="4"/>
      <c r="F130" s="4"/>
      <c r="G130" s="5"/>
      <c r="H130" s="5"/>
    </row>
    <row r="131" spans="1:8" ht="15.5">
      <c r="A131" s="8"/>
      <c r="B131" s="9"/>
      <c r="C131" s="3"/>
      <c r="D131" s="22"/>
      <c r="E131" s="4"/>
      <c r="F131" s="4"/>
      <c r="G131" s="5"/>
      <c r="H131" s="5"/>
    </row>
    <row r="132" spans="1:8" ht="15.5">
      <c r="A132" s="8"/>
      <c r="B132" s="9"/>
      <c r="C132" s="3"/>
      <c r="D132" s="22"/>
      <c r="E132" s="4"/>
      <c r="F132" s="4"/>
      <c r="G132" s="5"/>
      <c r="H132" s="5"/>
    </row>
    <row r="133" spans="1:8" ht="15.5">
      <c r="A133" s="13"/>
      <c r="B133" s="12"/>
      <c r="C133" s="14"/>
      <c r="D133" s="22"/>
      <c r="E133" s="4"/>
      <c r="F133" s="4"/>
      <c r="G133" s="5"/>
      <c r="H133" s="5"/>
    </row>
    <row r="134" spans="1:8" ht="15.5">
      <c r="A134" s="13"/>
      <c r="B134" s="12"/>
      <c r="C134" s="14"/>
      <c r="D134" s="22"/>
      <c r="E134" s="4"/>
      <c r="F134" s="4"/>
      <c r="G134" s="5"/>
      <c r="H134" s="5"/>
    </row>
    <row r="135" spans="1:8" ht="15.5">
      <c r="A135" s="8"/>
      <c r="B135" s="9"/>
      <c r="C135" s="3"/>
      <c r="D135" s="22"/>
      <c r="E135" s="4"/>
      <c r="F135" s="4"/>
      <c r="G135" s="5"/>
      <c r="H135" s="5"/>
    </row>
    <row r="136" spans="1:8" ht="15.5">
      <c r="A136" s="13"/>
      <c r="C136" s="16"/>
      <c r="D136" s="22"/>
      <c r="E136" s="4"/>
      <c r="F136" s="4"/>
      <c r="G136" s="5"/>
      <c r="H136" s="5"/>
    </row>
    <row r="137" spans="1:8" ht="15.5">
      <c r="A137" s="13"/>
      <c r="B137" s="12"/>
      <c r="C137" s="14"/>
      <c r="D137" s="22"/>
      <c r="E137" s="4"/>
      <c r="F137" s="4"/>
      <c r="G137" s="5"/>
      <c r="H137" s="5"/>
    </row>
    <row r="138" spans="1:8" ht="15.5">
      <c r="A138" s="13"/>
      <c r="B138" s="12"/>
      <c r="C138" s="14"/>
      <c r="D138" s="22"/>
      <c r="E138" s="4"/>
      <c r="F138" s="4"/>
      <c r="G138" s="5"/>
      <c r="H138" s="5"/>
    </row>
    <row r="139" spans="1:8" ht="15.5">
      <c r="A139" s="13"/>
      <c r="B139" s="12"/>
      <c r="C139" s="14"/>
      <c r="D139" s="22"/>
      <c r="E139" s="4"/>
      <c r="F139" s="4"/>
      <c r="G139" s="5"/>
      <c r="H139" s="5"/>
    </row>
    <row r="140" spans="1:8" ht="15.5">
      <c r="A140" s="8"/>
      <c r="B140" s="12"/>
      <c r="C140" s="14"/>
      <c r="D140" s="22"/>
      <c r="E140" s="4"/>
      <c r="F140" s="4"/>
      <c r="G140" s="5"/>
      <c r="H140" s="5"/>
    </row>
    <row r="141" spans="1:8" ht="15.5">
      <c r="A141" s="8"/>
      <c r="B141" s="9"/>
      <c r="C141" s="3"/>
      <c r="D141" s="22"/>
      <c r="E141" s="4"/>
      <c r="F141" s="4"/>
      <c r="G141" s="5"/>
      <c r="H141" s="5"/>
    </row>
    <row r="142" spans="1:8" ht="15.5">
      <c r="A142" s="8"/>
      <c r="B142" s="9"/>
      <c r="C142" s="3"/>
      <c r="D142" s="22"/>
      <c r="E142" s="4"/>
      <c r="F142" s="4"/>
      <c r="G142" s="5"/>
      <c r="H142" s="5"/>
    </row>
    <row r="143" spans="1:8" ht="15.5">
      <c r="A143" s="8"/>
      <c r="B143" s="9"/>
      <c r="C143" s="3"/>
      <c r="D143" s="22"/>
      <c r="E143" s="4"/>
      <c r="F143" s="4"/>
      <c r="G143" s="5"/>
      <c r="H143" s="5"/>
    </row>
    <row r="144" spans="1:8" ht="15.5">
      <c r="A144" s="8"/>
      <c r="B144" s="9"/>
      <c r="C144" s="3"/>
      <c r="D144" s="22"/>
      <c r="E144" s="4"/>
      <c r="F144" s="4"/>
      <c r="G144" s="5"/>
      <c r="H144" s="5"/>
    </row>
    <row r="145" spans="1:8" ht="15.5">
      <c r="A145" s="8"/>
      <c r="B145" s="9"/>
      <c r="C145" s="3"/>
      <c r="D145" s="22"/>
      <c r="E145" s="4"/>
      <c r="F145" s="4"/>
      <c r="G145" s="5"/>
      <c r="H145" s="5"/>
    </row>
    <row r="146" spans="1:8" ht="15.5">
      <c r="A146" s="8"/>
      <c r="B146" s="9"/>
      <c r="C146" s="3"/>
      <c r="D146" s="22"/>
      <c r="E146" s="4"/>
      <c r="F146" s="4"/>
      <c r="G146" s="5"/>
      <c r="H146" s="5"/>
    </row>
    <row r="147" spans="1:8" ht="15.5">
      <c r="A147" s="8"/>
      <c r="C147" s="18"/>
      <c r="D147" s="22"/>
      <c r="E147" s="4"/>
      <c r="F147" s="4"/>
      <c r="G147" s="5"/>
      <c r="H147" s="5"/>
    </row>
    <row r="148" spans="1:8" ht="15.5">
      <c r="A148" s="8"/>
      <c r="B148" s="9"/>
      <c r="C148" s="3"/>
      <c r="D148" s="22"/>
      <c r="E148" s="4"/>
      <c r="F148" s="4"/>
      <c r="G148" s="5"/>
      <c r="H148" s="5"/>
    </row>
    <row r="149" spans="1:8" ht="15.5">
      <c r="A149" s="8"/>
      <c r="B149" s="9"/>
      <c r="C149" s="3"/>
      <c r="D149" s="22"/>
      <c r="E149" s="4"/>
      <c r="F149" s="4"/>
      <c r="G149" s="5"/>
      <c r="H149" s="5"/>
    </row>
    <row r="150" spans="1:8" ht="15.5">
      <c r="A150" s="8"/>
      <c r="B150" s="9"/>
      <c r="C150" s="3"/>
      <c r="D150" s="22"/>
      <c r="E150" s="4"/>
      <c r="F150" s="4"/>
      <c r="G150" s="5"/>
      <c r="H150" s="5"/>
    </row>
    <row r="151" spans="1:8" ht="15.5">
      <c r="A151" s="8"/>
      <c r="B151" s="9"/>
      <c r="C151" s="3"/>
      <c r="D151" s="22"/>
      <c r="E151" s="4"/>
      <c r="F151" s="4"/>
      <c r="G151" s="5"/>
      <c r="H151" s="5"/>
    </row>
    <row r="152" spans="1:8" ht="15.5">
      <c r="A152" s="8"/>
      <c r="B152" s="9"/>
      <c r="C152" s="3"/>
      <c r="D152" s="22"/>
      <c r="E152" s="4"/>
      <c r="F152" s="4"/>
      <c r="G152" s="5"/>
      <c r="H152" s="5"/>
    </row>
    <row r="153" spans="1:8" ht="15.5">
      <c r="A153" s="8"/>
      <c r="B153" s="9"/>
      <c r="C153" s="3"/>
      <c r="D153" s="22"/>
      <c r="E153" s="4"/>
      <c r="F153" s="4"/>
      <c r="G153" s="5"/>
      <c r="H153" s="5"/>
    </row>
    <row r="154" spans="1:8" ht="15.5">
      <c r="A154" s="8"/>
      <c r="B154" s="9"/>
      <c r="C154" s="3"/>
      <c r="D154" s="22"/>
      <c r="E154" s="4"/>
      <c r="F154" s="4"/>
      <c r="G154" s="5"/>
      <c r="H154" s="5"/>
    </row>
    <row r="155" spans="1:8" ht="15.5">
      <c r="A155" s="8"/>
      <c r="B155" s="9"/>
      <c r="C155" s="3"/>
      <c r="D155" s="22"/>
      <c r="E155" s="4"/>
      <c r="F155" s="4"/>
      <c r="G155" s="5"/>
      <c r="H155" s="5"/>
    </row>
    <row r="156" spans="1:8" ht="15.5">
      <c r="A156" s="8"/>
      <c r="B156" s="9"/>
      <c r="C156" s="3"/>
      <c r="D156" s="22"/>
      <c r="E156" s="4"/>
      <c r="F156" s="4"/>
      <c r="G156" s="5"/>
      <c r="H156" s="5"/>
    </row>
    <row r="157" spans="1:8" ht="15.5">
      <c r="A157" s="8"/>
      <c r="B157" s="9"/>
      <c r="C157" s="3"/>
      <c r="D157" s="22"/>
      <c r="E157" s="4"/>
      <c r="F157" s="4"/>
      <c r="G157" s="5"/>
      <c r="H157" s="5"/>
    </row>
    <row r="158" spans="1:8" ht="15.5">
      <c r="A158" s="8"/>
      <c r="B158" s="9"/>
      <c r="C158" s="3"/>
      <c r="D158" s="22"/>
      <c r="E158" s="4"/>
      <c r="F158" s="4"/>
      <c r="G158" s="5"/>
      <c r="H158" s="5"/>
    </row>
    <row r="159" spans="1:8" ht="15.5">
      <c r="A159" s="8"/>
      <c r="B159" s="9"/>
      <c r="C159" s="3"/>
      <c r="D159" s="22"/>
      <c r="E159" s="4"/>
      <c r="F159" s="4"/>
      <c r="G159" s="5"/>
      <c r="H159" s="5"/>
    </row>
    <row r="160" spans="1:8" ht="15.5">
      <c r="A160" s="8"/>
      <c r="B160" s="9"/>
      <c r="C160" s="3"/>
      <c r="D160" s="22"/>
      <c r="E160" s="4"/>
      <c r="F160" s="4"/>
      <c r="G160" s="5"/>
      <c r="H160" s="5"/>
    </row>
    <row r="161" spans="1:8" ht="15.5">
      <c r="A161" s="8"/>
      <c r="B161" s="9"/>
      <c r="C161" s="3"/>
      <c r="D161" s="22"/>
      <c r="E161" s="17"/>
      <c r="F161" s="4"/>
      <c r="G161" s="5"/>
      <c r="H161" s="5"/>
    </row>
    <row r="162" spans="1:8" ht="15.5">
      <c r="A162" s="13"/>
      <c r="B162" s="12"/>
      <c r="C162" s="3"/>
      <c r="D162" s="22"/>
    </row>
    <row r="163" spans="1:8" ht="15.5">
      <c r="A163" s="8"/>
      <c r="B163" s="9"/>
      <c r="C163" s="3"/>
      <c r="D163" s="22"/>
      <c r="G163" s="2">
        <v>250</v>
      </c>
      <c r="H163" s="11">
        <f>+F163*G163</f>
        <v>0</v>
      </c>
    </row>
    <row r="164" spans="1:8" ht="15.5">
      <c r="A164" s="8"/>
      <c r="B164" s="9"/>
      <c r="C164" s="3"/>
      <c r="D164" s="22"/>
      <c r="G164" s="2">
        <v>250</v>
      </c>
      <c r="H164" s="11">
        <f>+F164*G164</f>
        <v>0</v>
      </c>
    </row>
    <row r="165" spans="1:8" ht="15.5">
      <c r="A165" s="8"/>
      <c r="B165" s="9"/>
      <c r="C165" s="3"/>
      <c r="D165" s="22"/>
    </row>
    <row r="166" spans="1:8" ht="15.5">
      <c r="A166" s="8"/>
      <c r="B166" s="9"/>
      <c r="C166" s="3"/>
      <c r="D166" s="22"/>
    </row>
    <row r="167" spans="1:8" ht="15.5">
      <c r="A167" s="8"/>
      <c r="B167" s="9"/>
      <c r="C167" s="3"/>
      <c r="D167" s="22"/>
    </row>
    <row r="168" spans="1:8" ht="15.5">
      <c r="A168" s="23"/>
      <c r="B168" s="5"/>
      <c r="C168" s="18"/>
      <c r="D168" s="22"/>
    </row>
    <row r="169" spans="1:8" ht="15.5">
      <c r="A169" s="8"/>
      <c r="B169" s="9"/>
      <c r="C169" s="3"/>
      <c r="D169" s="22"/>
      <c r="H169">
        <v>15000</v>
      </c>
    </row>
    <row r="170" spans="1:8" ht="15.5">
      <c r="A170" s="8"/>
      <c r="B170" s="9"/>
      <c r="C170" s="3"/>
      <c r="D170" s="22"/>
    </row>
    <row r="171" spans="1:8" ht="15.5">
      <c r="A171" s="23"/>
      <c r="B171" s="5"/>
      <c r="C171" s="18"/>
      <c r="D171" s="22"/>
    </row>
    <row r="172" spans="1:8" ht="15.5">
      <c r="A172" s="13"/>
      <c r="B172" s="12"/>
      <c r="C172" s="3"/>
      <c r="D172" s="22"/>
    </row>
    <row r="173" spans="1:8" ht="15.5">
      <c r="A173" s="8"/>
      <c r="B173" s="9"/>
      <c r="C173" s="3"/>
      <c r="D173" s="22"/>
    </row>
    <row r="174" spans="1:8" ht="15.5">
      <c r="A174" s="8"/>
      <c r="B174" s="9"/>
      <c r="C174" s="3"/>
      <c r="D174" s="22"/>
    </row>
    <row r="175" spans="1:8" ht="15.5">
      <c r="A175" s="8"/>
      <c r="B175" s="9"/>
      <c r="C175" s="3"/>
      <c r="D175" s="22"/>
    </row>
    <row r="176" spans="1:8" ht="15.5">
      <c r="A176" s="8"/>
      <c r="B176" s="9"/>
      <c r="C176" s="3"/>
      <c r="D176" s="22"/>
    </row>
    <row r="177" spans="1:8" ht="15.5">
      <c r="A177" s="8"/>
      <c r="B177" s="9"/>
      <c r="C177" s="3"/>
      <c r="D177" s="22"/>
    </row>
    <row r="178" spans="1:8" ht="15.5">
      <c r="A178" s="8"/>
      <c r="B178" s="9"/>
      <c r="C178" s="3"/>
      <c r="D178" s="22"/>
      <c r="F178">
        <v>325000</v>
      </c>
      <c r="G178" s="24">
        <v>3.4200000000000001E-2</v>
      </c>
      <c r="H178" s="11">
        <f>+F178*G178</f>
        <v>11115</v>
      </c>
    </row>
    <row r="179" spans="1:8" ht="15.5">
      <c r="A179" s="8"/>
      <c r="B179" s="9"/>
      <c r="C179" s="3"/>
      <c r="D179" s="22"/>
      <c r="F179">
        <v>1325000</v>
      </c>
      <c r="G179" s="25">
        <v>3.4200000000000001E-2</v>
      </c>
      <c r="H179" s="11">
        <f>+F179*G179</f>
        <v>45315</v>
      </c>
    </row>
    <row r="180" spans="1:8" ht="15.5">
      <c r="A180" s="8"/>
      <c r="B180" s="9"/>
      <c r="C180" s="3"/>
      <c r="D180" s="22"/>
    </row>
    <row r="181" spans="1:8" ht="15.5">
      <c r="A181" s="8"/>
      <c r="B181" s="9"/>
      <c r="C181" s="3"/>
      <c r="D181" s="22"/>
    </row>
    <row r="182" spans="1:8" ht="15.5">
      <c r="A182" s="8"/>
      <c r="B182" s="9"/>
      <c r="C182" s="3"/>
      <c r="D182" s="10"/>
      <c r="F182">
        <f>250*5300</f>
        <v>1325000</v>
      </c>
      <c r="H182">
        <f>SUM(H169:H181)</f>
        <v>71430</v>
      </c>
    </row>
    <row r="183" spans="1:8" ht="15.5">
      <c r="A183" s="8"/>
      <c r="B183" s="9"/>
      <c r="C183" s="3"/>
    </row>
    <row r="184" spans="1:8" ht="15.5">
      <c r="A184" s="8"/>
      <c r="B184" s="9"/>
      <c r="C184" s="3"/>
    </row>
    <row r="185" spans="1:8" ht="15.5">
      <c r="A185" s="8"/>
      <c r="B185" s="9"/>
      <c r="C185" s="3"/>
    </row>
    <row r="186" spans="1:8" ht="15.5">
      <c r="A186" s="8"/>
      <c r="B186" s="9"/>
      <c r="C186" s="3"/>
    </row>
    <row r="187" spans="1:8" ht="15.5">
      <c r="A187" s="8"/>
      <c r="B187" s="9"/>
      <c r="C187" s="3"/>
    </row>
    <row r="188" spans="1:8" ht="15.5">
      <c r="A188" s="8"/>
      <c r="B188" s="9"/>
      <c r="C188" s="3"/>
    </row>
    <row r="189" spans="1:8" ht="15.5">
      <c r="A189" s="8"/>
      <c r="B189" s="9"/>
      <c r="C189" s="3"/>
    </row>
    <row r="190" spans="1:8" ht="15.5">
      <c r="A190" s="8"/>
      <c r="B190" s="9"/>
      <c r="C190" s="3"/>
    </row>
    <row r="191" spans="1:8" ht="15.5">
      <c r="A191" s="8"/>
      <c r="B191" s="9"/>
      <c r="C191" s="3"/>
    </row>
    <row r="192" spans="1:8" ht="15.5">
      <c r="A192" s="8"/>
      <c r="B192" s="9"/>
      <c r="C192" s="3"/>
    </row>
    <row r="193" spans="1:3" ht="15.5">
      <c r="A193" s="8"/>
      <c r="B193" s="9"/>
      <c r="C193" s="3"/>
    </row>
    <row r="194" spans="1:3" ht="15.5">
      <c r="A194" s="8"/>
      <c r="B194" s="9"/>
      <c r="C194" s="3"/>
    </row>
    <row r="195" spans="1:3" ht="15.5">
      <c r="A195" s="8"/>
      <c r="B195" s="12"/>
      <c r="C195" s="14"/>
    </row>
    <row r="196" spans="1:3">
      <c r="A196" s="13"/>
      <c r="C196" s="16"/>
    </row>
    <row r="197" spans="1:3">
      <c r="A197" s="13"/>
      <c r="B197" s="12"/>
      <c r="C197" s="14"/>
    </row>
    <row r="198" spans="1:3">
      <c r="A198" s="13"/>
      <c r="B198" s="12"/>
      <c r="C198" s="14"/>
    </row>
    <row r="199" spans="1:3">
      <c r="A199" s="13"/>
      <c r="B199" s="12"/>
      <c r="C199" s="14"/>
    </row>
    <row r="200" spans="1:3">
      <c r="A200" s="13"/>
      <c r="B200" s="12"/>
      <c r="C200" s="14"/>
    </row>
    <row r="201" spans="1:3">
      <c r="A201" s="13"/>
      <c r="B201" s="12"/>
      <c r="C201" s="14"/>
    </row>
    <row r="202" spans="1:3" ht="15.5">
      <c r="A202" s="8"/>
      <c r="B202" s="9"/>
      <c r="C202" s="3"/>
    </row>
    <row r="203" spans="1:3" ht="15.5">
      <c r="A203" s="8"/>
      <c r="B203" s="9"/>
      <c r="C203" s="3"/>
    </row>
    <row r="204" spans="1:3" ht="15.5">
      <c r="A204" s="8"/>
      <c r="B204" s="9"/>
      <c r="C204" s="3"/>
    </row>
    <row r="205" spans="1:3" ht="15.5">
      <c r="A205" s="8"/>
      <c r="B205" s="9"/>
      <c r="C205" s="3"/>
    </row>
  </sheetData>
  <mergeCells count="2">
    <mergeCell ref="A1:C1"/>
    <mergeCell ref="G2:H2"/>
  </mergeCells>
  <pageMargins left="0.7" right="0.7" top="0.75" bottom="0.75" header="0.511811023622047" footer="0.511811023622047"/>
  <pageSetup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5"/>
  <sheetViews>
    <sheetView zoomScaleNormal="100" workbookViewId="0">
      <selection activeCell="A3" sqref="A3"/>
    </sheetView>
  </sheetViews>
  <sheetFormatPr baseColWidth="10" defaultColWidth="8.7265625" defaultRowHeight="14.5"/>
  <cols>
    <col min="1" max="1" width="7.54296875" customWidth="1"/>
    <col min="2" max="2" width="17.81640625" style="2" customWidth="1"/>
    <col min="3" max="3" width="25.1796875" customWidth="1"/>
    <col min="4" max="4" width="11.81640625" customWidth="1"/>
    <col min="5" max="5" width="11.453125" customWidth="1"/>
    <col min="6" max="6" width="30.453125" customWidth="1"/>
    <col min="7" max="7" width="25.81640625" style="2" customWidth="1"/>
    <col min="8" max="8" width="15.1796875" customWidth="1"/>
    <col min="9" max="9" width="11.1796875" style="2" customWidth="1"/>
    <col min="10" max="10" width="14.81640625" customWidth="1"/>
  </cols>
  <sheetData>
    <row r="1" spans="1:8" ht="15.5">
      <c r="A1" s="209" t="s">
        <v>0</v>
      </c>
      <c r="B1" s="209"/>
      <c r="C1" s="209"/>
      <c r="D1" s="3"/>
      <c r="E1" s="4"/>
      <c r="F1" s="4"/>
      <c r="G1" s="5"/>
      <c r="H1" s="5"/>
    </row>
    <row r="2" spans="1:8" ht="15.5">
      <c r="A2" s="6" t="s">
        <v>1</v>
      </c>
      <c r="B2" s="7" t="s">
        <v>2</v>
      </c>
      <c r="C2" s="6" t="s">
        <v>3</v>
      </c>
      <c r="D2" s="3"/>
      <c r="E2" s="4"/>
      <c r="F2" s="4"/>
      <c r="G2" s="210" t="s">
        <v>4</v>
      </c>
      <c r="H2" s="210"/>
    </row>
    <row r="3" spans="1:8" ht="15.5">
      <c r="A3" s="8">
        <v>45488</v>
      </c>
      <c r="B3" s="9">
        <v>-11500</v>
      </c>
      <c r="C3" s="3" t="s">
        <v>90</v>
      </c>
      <c r="D3" s="10">
        <f>+B3</f>
        <v>-11500</v>
      </c>
      <c r="E3" s="4"/>
      <c r="F3" s="4"/>
      <c r="G3" s="9" t="s">
        <v>6</v>
      </c>
      <c r="H3" s="9">
        <v>20000</v>
      </c>
    </row>
    <row r="4" spans="1:8" ht="15.5">
      <c r="A4" s="8">
        <v>45488</v>
      </c>
      <c r="B4" s="2">
        <v>-14630</v>
      </c>
      <c r="C4" t="s">
        <v>91</v>
      </c>
      <c r="D4" s="11">
        <f>+D3+B4</f>
        <v>-26130</v>
      </c>
      <c r="E4" s="4"/>
      <c r="F4" s="4"/>
      <c r="G4" s="9" t="s">
        <v>7</v>
      </c>
      <c r="H4" s="9">
        <v>30000</v>
      </c>
    </row>
    <row r="5" spans="1:8" ht="15.5">
      <c r="A5" s="8">
        <v>1477</v>
      </c>
      <c r="B5" s="9">
        <v>-700</v>
      </c>
      <c r="C5" s="3" t="s">
        <v>92</v>
      </c>
      <c r="D5" s="11">
        <f>+D4+B5</f>
        <v>-26830</v>
      </c>
      <c r="E5" s="4"/>
      <c r="F5" s="4"/>
      <c r="G5" s="9" t="s">
        <v>9</v>
      </c>
      <c r="H5" s="9">
        <v>40000</v>
      </c>
    </row>
    <row r="6" spans="1:8" ht="15.5">
      <c r="A6" s="8">
        <v>45494</v>
      </c>
      <c r="B6" s="9">
        <v>-3000</v>
      </c>
      <c r="C6" s="3" t="s">
        <v>93</v>
      </c>
      <c r="D6" s="11">
        <f>+D5+B6</f>
        <v>-29830</v>
      </c>
      <c r="E6" s="4"/>
      <c r="F6" s="4"/>
      <c r="G6" s="9" t="s">
        <v>11</v>
      </c>
      <c r="H6" s="9">
        <v>5000</v>
      </c>
    </row>
    <row r="7" spans="1:8" ht="15.5">
      <c r="A7" s="8">
        <v>45494</v>
      </c>
      <c r="B7" s="9">
        <v>-500</v>
      </c>
      <c r="C7" s="3" t="s">
        <v>94</v>
      </c>
      <c r="D7" s="11"/>
      <c r="E7" s="4"/>
      <c r="F7" s="4"/>
      <c r="G7" s="9"/>
      <c r="H7" s="9"/>
    </row>
    <row r="8" spans="1:8" ht="15.5">
      <c r="A8" s="8">
        <v>45492</v>
      </c>
      <c r="B8" s="9">
        <f>-50*60</f>
        <v>-3000</v>
      </c>
      <c r="C8" s="3" t="s">
        <v>95</v>
      </c>
      <c r="D8" s="11"/>
      <c r="E8" s="4"/>
      <c r="F8" s="4"/>
      <c r="G8" s="9" t="s">
        <v>13</v>
      </c>
      <c r="H8" s="9">
        <v>3000</v>
      </c>
    </row>
    <row r="9" spans="1:8" ht="15.5">
      <c r="A9" s="8">
        <v>45499</v>
      </c>
      <c r="B9" s="12">
        <v>-55000</v>
      </c>
      <c r="C9" s="3" t="s">
        <v>96</v>
      </c>
      <c r="D9" s="11"/>
      <c r="E9" s="4"/>
      <c r="F9" s="4"/>
      <c r="G9" s="9" t="s">
        <v>15</v>
      </c>
      <c r="H9" s="9">
        <v>5000</v>
      </c>
    </row>
    <row r="10" spans="1:8" ht="15.5">
      <c r="A10" s="8">
        <v>45498</v>
      </c>
      <c r="B10" s="9">
        <v>-11000</v>
      </c>
      <c r="C10" s="3" t="s">
        <v>66</v>
      </c>
      <c r="D10" s="11">
        <v>20000</v>
      </c>
      <c r="E10" s="4" t="s">
        <v>17</v>
      </c>
      <c r="F10" s="4"/>
      <c r="G10" s="9" t="s">
        <v>18</v>
      </c>
      <c r="H10" s="9">
        <v>1500</v>
      </c>
    </row>
    <row r="11" spans="1:8" ht="15.5">
      <c r="A11" s="13">
        <v>45503</v>
      </c>
      <c r="B11" s="12">
        <v>-11500</v>
      </c>
      <c r="C11" s="3" t="s">
        <v>97</v>
      </c>
      <c r="D11" s="11">
        <v>2000</v>
      </c>
      <c r="E11" s="4"/>
      <c r="F11" s="4"/>
      <c r="G11" s="9" t="s">
        <v>19</v>
      </c>
      <c r="H11" s="9">
        <v>10000</v>
      </c>
    </row>
    <row r="12" spans="1:8" ht="15.5">
      <c r="A12" s="13">
        <v>45503</v>
      </c>
      <c r="B12" s="12">
        <v>-10500</v>
      </c>
      <c r="C12" s="3" t="s">
        <v>97</v>
      </c>
      <c r="D12" s="11"/>
      <c r="E12" s="4"/>
      <c r="F12" s="4"/>
      <c r="G12" s="9" t="s">
        <v>21</v>
      </c>
      <c r="H12" s="9">
        <v>1500</v>
      </c>
    </row>
    <row r="13" spans="1:8" ht="15.5">
      <c r="A13" s="13">
        <v>45503</v>
      </c>
      <c r="B13" s="12">
        <v>-3700</v>
      </c>
      <c r="C13" s="14" t="s">
        <v>98</v>
      </c>
      <c r="D13" s="11">
        <v>11000</v>
      </c>
      <c r="E13" s="4"/>
      <c r="F13" s="4"/>
      <c r="G13" s="9" t="s">
        <v>23</v>
      </c>
      <c r="H13" s="9">
        <v>25000</v>
      </c>
    </row>
    <row r="14" spans="1:8" ht="15.5">
      <c r="A14" s="13">
        <v>45503</v>
      </c>
      <c r="B14" s="12">
        <v>-8000</v>
      </c>
      <c r="C14" s="14"/>
      <c r="D14" s="11">
        <f>+D13*1.33</f>
        <v>14630</v>
      </c>
      <c r="E14" s="4"/>
      <c r="F14" s="4"/>
      <c r="G14" s="9" t="s">
        <v>25</v>
      </c>
      <c r="H14" s="9">
        <v>1500</v>
      </c>
    </row>
    <row r="15" spans="1:8" ht="15.5">
      <c r="A15" s="14"/>
      <c r="B15" s="12">
        <f>+B3+B4+B8+B11+B12+B13</f>
        <v>-54830</v>
      </c>
      <c r="C15" s="14"/>
      <c r="D15" s="11"/>
      <c r="E15" s="4"/>
      <c r="F15" s="4"/>
      <c r="G15" s="9"/>
      <c r="H15" s="9"/>
    </row>
    <row r="16" spans="1:8" ht="15.5">
      <c r="A16" s="8"/>
      <c r="B16" s="12"/>
      <c r="C16" s="14"/>
      <c r="D16" s="11"/>
      <c r="E16" s="4"/>
      <c r="F16" s="4"/>
      <c r="G16" s="9"/>
      <c r="H16" s="9"/>
    </row>
    <row r="17" spans="1:8" ht="15.5">
      <c r="A17" s="8"/>
      <c r="B17" s="12"/>
      <c r="C17" s="14"/>
      <c r="D17" s="11"/>
      <c r="E17" s="4"/>
      <c r="F17" s="4"/>
      <c r="G17" s="15" t="s">
        <v>27</v>
      </c>
      <c r="H17" s="15">
        <f>SUM(H3:H15)</f>
        <v>142500</v>
      </c>
    </row>
    <row r="18" spans="1:8" ht="15.5">
      <c r="A18" s="8"/>
      <c r="B18" s="9"/>
      <c r="C18" s="3"/>
      <c r="D18" s="11"/>
      <c r="E18" s="4"/>
      <c r="F18" s="4"/>
      <c r="G18" s="5" t="s">
        <v>29</v>
      </c>
      <c r="H18" s="5">
        <f>+H17/54</f>
        <v>2638.8888888888887</v>
      </c>
    </row>
    <row r="19" spans="1:8" ht="15.5">
      <c r="A19" s="8"/>
      <c r="B19" s="9"/>
      <c r="C19" s="3"/>
      <c r="D19" s="11"/>
      <c r="E19" s="4"/>
      <c r="F19" s="4"/>
      <c r="G19" s="5"/>
      <c r="H19" s="5"/>
    </row>
    <row r="20" spans="1:8" ht="15.5">
      <c r="A20" s="8"/>
      <c r="B20" s="12"/>
      <c r="C20" s="3"/>
      <c r="D20" s="11"/>
      <c r="E20" s="4"/>
      <c r="F20" s="4"/>
      <c r="G20" s="5"/>
      <c r="H20" s="5"/>
    </row>
    <row r="21" spans="1:8" ht="15.5">
      <c r="A21" s="8"/>
      <c r="B21" s="5"/>
      <c r="C21" s="18"/>
      <c r="D21" s="11"/>
      <c r="E21" s="4"/>
      <c r="F21" s="4"/>
      <c r="G21" s="5" t="s">
        <v>77</v>
      </c>
      <c r="H21" s="5"/>
    </row>
    <row r="22" spans="1:8" ht="15.5">
      <c r="A22" s="8"/>
      <c r="B22" s="9"/>
      <c r="C22" s="3"/>
      <c r="D22" s="11"/>
      <c r="E22" s="4"/>
      <c r="F22" s="4"/>
      <c r="G22" s="5" t="s">
        <v>78</v>
      </c>
      <c r="H22" s="5">
        <f>1100*55</f>
        <v>60500</v>
      </c>
    </row>
    <row r="23" spans="1:8" ht="15.5">
      <c r="A23" s="8"/>
      <c r="B23" s="12"/>
      <c r="C23" s="14"/>
      <c r="D23" s="11"/>
      <c r="E23" s="4">
        <v>201000</v>
      </c>
      <c r="F23" s="4"/>
      <c r="G23" s="5" t="s">
        <v>79</v>
      </c>
      <c r="H23" s="5">
        <v>27000</v>
      </c>
    </row>
    <row r="24" spans="1:8" ht="15.5">
      <c r="A24" s="8"/>
      <c r="B24" s="12"/>
      <c r="C24" s="14"/>
      <c r="D24" s="11"/>
      <c r="E24" s="4"/>
      <c r="F24" s="4"/>
      <c r="G24" s="5"/>
      <c r="H24" s="5"/>
    </row>
    <row r="25" spans="1:8" ht="15.5">
      <c r="A25" s="8"/>
      <c r="B25" s="12"/>
      <c r="C25" s="14"/>
      <c r="D25" s="11"/>
      <c r="E25" s="4"/>
      <c r="F25" s="4"/>
      <c r="G25" s="5" t="s">
        <v>27</v>
      </c>
      <c r="H25" s="17">
        <f>SUM(H22:H24)</f>
        <v>87500</v>
      </c>
    </row>
    <row r="26" spans="1:8" ht="15.5">
      <c r="A26" s="8"/>
      <c r="B26" s="9"/>
      <c r="C26" s="3"/>
      <c r="D26" s="11"/>
      <c r="E26" s="4"/>
      <c r="F26" s="4"/>
      <c r="G26" s="5"/>
      <c r="H26" s="4"/>
    </row>
    <row r="27" spans="1:8" ht="15.5">
      <c r="A27" s="8"/>
      <c r="B27" s="9"/>
      <c r="C27" s="3"/>
      <c r="D27" s="11"/>
      <c r="E27" s="4"/>
      <c r="F27" s="4"/>
      <c r="G27" s="5"/>
      <c r="H27" s="4"/>
    </row>
    <row r="28" spans="1:8" ht="15.5">
      <c r="A28" s="8"/>
      <c r="B28" s="9"/>
      <c r="C28" s="3"/>
      <c r="D28" s="11"/>
      <c r="E28" s="4"/>
      <c r="F28" s="4" t="s">
        <v>80</v>
      </c>
      <c r="G28" s="5"/>
      <c r="H28" s="4"/>
    </row>
    <row r="29" spans="1:8" ht="15.5">
      <c r="A29" s="8"/>
      <c r="B29" s="5"/>
      <c r="C29" s="18"/>
      <c r="D29" s="11"/>
      <c r="E29" s="4"/>
      <c r="F29" s="4" t="s">
        <v>81</v>
      </c>
      <c r="G29" s="5">
        <f>4700*56</f>
        <v>263200</v>
      </c>
      <c r="H29" s="5"/>
    </row>
    <row r="30" spans="1:8" ht="15.5">
      <c r="A30" s="8"/>
      <c r="C30" s="18"/>
      <c r="D30" s="11"/>
      <c r="E30" s="4"/>
      <c r="F30" s="4" t="s">
        <v>82</v>
      </c>
      <c r="G30" s="5">
        <v>10000</v>
      </c>
      <c r="H30" s="5"/>
    </row>
    <row r="31" spans="1:8" ht="15.5">
      <c r="A31" s="8"/>
      <c r="B31" s="9"/>
      <c r="C31" s="3"/>
      <c r="D31" s="11"/>
      <c r="E31" s="4"/>
      <c r="F31" s="4" t="s">
        <v>83</v>
      </c>
      <c r="G31" s="5">
        <v>25000</v>
      </c>
      <c r="H31" s="5"/>
    </row>
    <row r="32" spans="1:8" ht="15.5">
      <c r="A32" s="8"/>
      <c r="B32" s="9"/>
      <c r="C32" s="3"/>
      <c r="D32" s="11"/>
      <c r="E32" s="4"/>
      <c r="F32" s="17" t="s">
        <v>84</v>
      </c>
      <c r="G32" s="5">
        <v>35000</v>
      </c>
      <c r="H32" s="5"/>
    </row>
    <row r="33" spans="1:8" ht="15.5">
      <c r="A33" s="8"/>
      <c r="C33" s="18"/>
      <c r="E33" s="4"/>
      <c r="F33" s="4" t="s">
        <v>85</v>
      </c>
      <c r="G33" s="5">
        <v>9000</v>
      </c>
      <c r="H33" s="5"/>
    </row>
    <row r="34" spans="1:8" ht="15.5">
      <c r="A34" s="8"/>
      <c r="B34" s="9"/>
      <c r="C34" s="3"/>
      <c r="D34" s="11"/>
      <c r="E34" s="4"/>
      <c r="F34" s="4" t="s">
        <v>86</v>
      </c>
      <c r="G34" s="5">
        <v>9000</v>
      </c>
      <c r="H34" s="5"/>
    </row>
    <row r="35" spans="1:8" ht="15.5">
      <c r="A35" s="13"/>
      <c r="B35" s="12"/>
      <c r="C35" s="14"/>
      <c r="E35" s="4"/>
      <c r="F35" s="4"/>
      <c r="G35" s="5"/>
      <c r="H35" s="5"/>
    </row>
    <row r="36" spans="1:8" ht="15.5">
      <c r="A36" s="14"/>
      <c r="B36" s="12"/>
      <c r="C36" s="14"/>
      <c r="D36" s="11"/>
      <c r="E36" s="4"/>
      <c r="F36" s="4"/>
      <c r="G36" s="5"/>
      <c r="H36" s="5"/>
    </row>
    <row r="37" spans="1:8" ht="15.5">
      <c r="A37" s="14"/>
      <c r="B37" s="12"/>
      <c r="C37" s="14"/>
      <c r="D37" s="11"/>
      <c r="E37" s="4"/>
      <c r="F37" s="4"/>
      <c r="G37" s="5"/>
      <c r="H37" s="5"/>
    </row>
    <row r="38" spans="1:8" ht="15.5">
      <c r="A38" s="14"/>
      <c r="B38" s="12"/>
      <c r="C38" s="14"/>
      <c r="D38" s="11"/>
      <c r="E38" s="4"/>
      <c r="F38" s="26" t="s">
        <v>87</v>
      </c>
      <c r="G38" s="26"/>
      <c r="H38" s="5"/>
    </row>
    <row r="39" spans="1:8" ht="15.5">
      <c r="A39" s="14"/>
      <c r="B39" s="12"/>
      <c r="C39" s="14"/>
      <c r="D39" s="11"/>
      <c r="E39" s="4"/>
      <c r="F39" s="26" t="s">
        <v>88</v>
      </c>
      <c r="G39" s="26" t="s">
        <v>89</v>
      </c>
      <c r="H39" s="5"/>
    </row>
    <row r="40" spans="1:8" ht="15.5">
      <c r="A40" s="14"/>
      <c r="B40" s="12"/>
      <c r="C40" s="14"/>
      <c r="D40" s="11"/>
      <c r="E40" s="4"/>
      <c r="F40" s="27">
        <v>1</v>
      </c>
      <c r="G40" s="26">
        <v>1163</v>
      </c>
      <c r="H40" s="5"/>
    </row>
    <row r="41" spans="1:8" ht="15.5">
      <c r="A41" s="8"/>
      <c r="B41" s="9"/>
      <c r="C41" s="3"/>
      <c r="D41" s="11"/>
      <c r="E41" s="4"/>
      <c r="F41" s="27">
        <v>2</v>
      </c>
      <c r="G41" s="26">
        <v>1133</v>
      </c>
      <c r="H41" s="5"/>
    </row>
    <row r="42" spans="1:8" ht="15.5">
      <c r="A42" s="12"/>
      <c r="B42" s="12"/>
      <c r="C42" s="12"/>
      <c r="D42" s="11"/>
      <c r="E42" s="4"/>
      <c r="F42" s="27">
        <v>3</v>
      </c>
      <c r="G42" s="26">
        <v>1150</v>
      </c>
      <c r="H42" s="5"/>
    </row>
    <row r="43" spans="1:8" ht="15.5">
      <c r="A43" s="12"/>
      <c r="B43" s="12"/>
      <c r="C43" s="12"/>
      <c r="D43" s="11"/>
      <c r="E43" s="4"/>
      <c r="F43" s="27">
        <v>4</v>
      </c>
      <c r="G43" s="26">
        <v>1233</v>
      </c>
      <c r="H43" s="5"/>
    </row>
    <row r="44" spans="1:8" ht="15.5">
      <c r="A44" s="12"/>
      <c r="B44" s="12"/>
      <c r="C44" s="12"/>
      <c r="D44" s="11"/>
      <c r="E44" s="4"/>
      <c r="F44" s="27">
        <v>5</v>
      </c>
      <c r="G44" s="26">
        <v>989</v>
      </c>
      <c r="H44" s="5"/>
    </row>
    <row r="45" spans="1:8" ht="15.5">
      <c r="A45" s="12"/>
      <c r="B45" s="12"/>
      <c r="C45" s="12"/>
      <c r="D45" s="11"/>
      <c r="E45" s="4"/>
      <c r="F45" s="27">
        <v>6</v>
      </c>
      <c r="G45" s="26">
        <v>953</v>
      </c>
      <c r="H45" s="5"/>
    </row>
    <row r="46" spans="1:8" ht="15.5">
      <c r="A46" s="12"/>
      <c r="B46" s="12"/>
      <c r="C46" s="12"/>
      <c r="D46" s="11"/>
      <c r="E46" s="4"/>
      <c r="F46" s="27">
        <v>7</v>
      </c>
      <c r="G46" s="26">
        <v>864</v>
      </c>
      <c r="H46" s="5"/>
    </row>
    <row r="47" spans="1:8" ht="15.5">
      <c r="A47" s="12"/>
      <c r="B47" s="12"/>
      <c r="C47" s="12"/>
      <c r="D47" s="11"/>
      <c r="E47" s="4"/>
      <c r="F47" s="27">
        <v>8</v>
      </c>
      <c r="G47" s="26">
        <v>710</v>
      </c>
      <c r="H47" s="5"/>
    </row>
    <row r="48" spans="1:8" ht="15.5">
      <c r="A48" s="12"/>
      <c r="B48" s="12"/>
      <c r="C48" s="12"/>
      <c r="D48" s="11"/>
      <c r="E48" s="4"/>
      <c r="F48" s="28"/>
      <c r="G48" s="26"/>
      <c r="H48" s="5"/>
    </row>
    <row r="49" spans="1:8" ht="15.5">
      <c r="A49" s="12"/>
      <c r="B49" s="12"/>
      <c r="C49" s="12"/>
      <c r="D49" s="11"/>
      <c r="E49" s="4">
        <v>70000</v>
      </c>
      <c r="F49" s="26"/>
      <c r="G49" s="26">
        <f>SUM(G40:G48)</f>
        <v>8195</v>
      </c>
      <c r="H49" s="5"/>
    </row>
    <row r="50" spans="1:8" ht="15.5">
      <c r="A50" s="12"/>
      <c r="B50" s="12"/>
      <c r="C50" s="12"/>
      <c r="D50" s="11"/>
      <c r="E50" s="4">
        <v>65000</v>
      </c>
      <c r="F50" s="4"/>
      <c r="G50" s="5"/>
      <c r="H50" s="5"/>
    </row>
    <row r="51" spans="1:8" ht="15.5">
      <c r="A51" s="12"/>
      <c r="B51" s="12"/>
      <c r="C51" s="12"/>
      <c r="D51" s="11"/>
      <c r="E51" s="4"/>
      <c r="F51" s="4"/>
      <c r="G51" s="5"/>
      <c r="H51" s="5"/>
    </row>
    <row r="52" spans="1:8" ht="15.5">
      <c r="A52" s="8"/>
      <c r="B52" s="9"/>
      <c r="C52" s="3"/>
      <c r="D52" s="11"/>
      <c r="E52" s="4">
        <f>SUM(E49:E51)</f>
        <v>135000</v>
      </c>
      <c r="F52" s="4"/>
      <c r="G52" s="5"/>
      <c r="H52" s="5"/>
    </row>
    <row r="53" spans="1:8" ht="15.5">
      <c r="A53" s="8"/>
      <c r="B53" s="9"/>
      <c r="C53" s="3"/>
      <c r="D53" s="11"/>
      <c r="E53" s="4"/>
      <c r="F53" s="4"/>
      <c r="G53" s="5"/>
      <c r="H53" s="5">
        <v>50000</v>
      </c>
    </row>
    <row r="54" spans="1:8" ht="15.5">
      <c r="A54" s="8"/>
      <c r="B54" s="9"/>
      <c r="C54" s="3"/>
      <c r="D54" s="11"/>
      <c r="E54" s="4"/>
      <c r="F54" s="4"/>
      <c r="G54" s="5"/>
      <c r="H54" s="5">
        <v>80000</v>
      </c>
    </row>
    <row r="55" spans="1:8" ht="15.5">
      <c r="A55" s="8"/>
      <c r="B55" s="9"/>
      <c r="C55" s="3"/>
      <c r="D55" s="11"/>
      <c r="E55" s="4"/>
      <c r="F55" s="4"/>
      <c r="G55" s="5"/>
      <c r="H55" s="5"/>
    </row>
    <row r="56" spans="1:8" ht="15.5">
      <c r="A56" s="8"/>
      <c r="B56" s="9"/>
      <c r="C56" s="3"/>
      <c r="D56" s="11"/>
      <c r="E56" s="4"/>
      <c r="F56" s="4"/>
      <c r="G56" s="5"/>
      <c r="H56" s="5"/>
    </row>
    <row r="57" spans="1:8" ht="15.5">
      <c r="A57" s="8"/>
      <c r="B57" s="9"/>
      <c r="C57" s="3"/>
      <c r="D57" s="11"/>
      <c r="E57" s="4"/>
      <c r="F57" s="4"/>
      <c r="G57" s="5"/>
      <c r="H57" s="5"/>
    </row>
    <row r="58" spans="1:8" ht="15.5">
      <c r="A58" s="8"/>
      <c r="B58" s="9"/>
      <c r="C58" s="3"/>
      <c r="D58" s="11"/>
      <c r="E58" s="4"/>
      <c r="F58" s="4"/>
      <c r="G58" s="5"/>
      <c r="H58" s="5"/>
    </row>
    <row r="59" spans="1:8" ht="15.5">
      <c r="A59" s="8"/>
      <c r="B59" s="9"/>
      <c r="C59" s="3"/>
      <c r="D59" s="11"/>
      <c r="E59" s="4"/>
      <c r="F59" s="4"/>
      <c r="G59" s="5"/>
      <c r="H59" s="5"/>
    </row>
    <row r="60" spans="1:8" ht="15.5">
      <c r="A60" s="8"/>
      <c r="B60" s="9"/>
      <c r="C60" s="3"/>
      <c r="D60" s="11"/>
      <c r="E60" s="4"/>
      <c r="F60" s="4"/>
      <c r="G60" s="5"/>
      <c r="H60" s="5"/>
    </row>
    <row r="61" spans="1:8" ht="15.5">
      <c r="A61" s="8"/>
      <c r="B61" s="9"/>
      <c r="C61" s="3"/>
      <c r="D61" s="11"/>
      <c r="E61" s="4"/>
      <c r="F61" s="4"/>
      <c r="G61" s="5"/>
      <c r="H61" s="5"/>
    </row>
    <row r="62" spans="1:8" ht="15.5">
      <c r="A62" s="8"/>
      <c r="B62" s="9"/>
      <c r="C62" s="3"/>
      <c r="D62" s="22"/>
      <c r="E62" s="4"/>
      <c r="F62" s="4"/>
      <c r="G62" s="5"/>
      <c r="H62" s="5"/>
    </row>
    <row r="63" spans="1:8" ht="15.5">
      <c r="A63" s="8"/>
      <c r="B63" s="9"/>
      <c r="C63" s="3"/>
      <c r="D63" s="22"/>
      <c r="E63" s="4"/>
      <c r="F63" s="4"/>
      <c r="G63" s="5"/>
      <c r="H63" s="5"/>
    </row>
    <row r="64" spans="1:8" ht="15.5">
      <c r="A64" s="8"/>
      <c r="B64" s="9"/>
      <c r="C64" s="3"/>
      <c r="D64" s="22"/>
      <c r="E64" s="4"/>
      <c r="F64" s="4"/>
      <c r="G64" s="5"/>
      <c r="H64" s="5"/>
    </row>
    <row r="65" spans="1:10" ht="15.5">
      <c r="A65" s="8"/>
      <c r="B65" s="9"/>
      <c r="C65" s="3"/>
      <c r="D65" s="22"/>
      <c r="E65" s="4"/>
      <c r="F65" s="4"/>
      <c r="G65" s="5"/>
      <c r="H65" s="5"/>
    </row>
    <row r="66" spans="1:10" ht="15.5">
      <c r="A66" s="8"/>
      <c r="B66" s="9"/>
      <c r="C66" s="3"/>
      <c r="D66" s="22"/>
      <c r="E66" s="4"/>
      <c r="F66" s="4"/>
      <c r="G66" s="5"/>
      <c r="H66" s="5"/>
    </row>
    <row r="67" spans="1:10" ht="15.5">
      <c r="A67" s="8"/>
      <c r="B67" s="9"/>
      <c r="C67" s="3"/>
      <c r="D67" s="22"/>
      <c r="E67" s="4"/>
      <c r="F67" s="4"/>
      <c r="G67" s="5"/>
      <c r="H67" s="5"/>
    </row>
    <row r="68" spans="1:10" ht="15.5">
      <c r="A68" s="8"/>
      <c r="B68" s="9"/>
      <c r="C68" s="3"/>
      <c r="D68" s="22"/>
      <c r="E68" s="4"/>
      <c r="F68" s="4"/>
      <c r="G68" s="5"/>
      <c r="H68" s="5"/>
    </row>
    <row r="69" spans="1:10" ht="15.5">
      <c r="A69" s="8"/>
      <c r="B69" s="9"/>
      <c r="C69" s="3"/>
      <c r="D69" s="22"/>
      <c r="E69" s="4"/>
      <c r="F69" s="4"/>
      <c r="G69" s="5"/>
      <c r="H69" s="5"/>
    </row>
    <row r="70" spans="1:10" ht="15.5">
      <c r="A70" s="8">
        <v>45232</v>
      </c>
      <c r="B70" s="12"/>
      <c r="C70" s="14" t="s">
        <v>30</v>
      </c>
      <c r="D70" s="10">
        <f t="shared" ref="D70:D101" si="0">+D69+B70</f>
        <v>0</v>
      </c>
      <c r="E70" s="4"/>
      <c r="F70" s="4"/>
      <c r="G70" s="5"/>
      <c r="H70" s="5"/>
    </row>
    <row r="71" spans="1:10" ht="15.5">
      <c r="A71" s="8">
        <v>45232</v>
      </c>
      <c r="B71" s="12"/>
      <c r="C71" s="14" t="s">
        <v>19</v>
      </c>
      <c r="D71" s="10">
        <f t="shared" si="0"/>
        <v>0</v>
      </c>
      <c r="E71" s="4"/>
      <c r="F71" s="4"/>
      <c r="G71" s="5"/>
      <c r="H71" s="5"/>
    </row>
    <row r="72" spans="1:10" ht="15.5">
      <c r="A72" s="8">
        <v>45233</v>
      </c>
      <c r="B72" s="9">
        <v>-500</v>
      </c>
      <c r="C72" s="3" t="s">
        <v>31</v>
      </c>
      <c r="D72" s="10">
        <f t="shared" si="0"/>
        <v>-500</v>
      </c>
      <c r="E72" s="4"/>
      <c r="F72" s="4"/>
      <c r="G72" s="5"/>
      <c r="H72" s="5"/>
      <c r="J72" s="2"/>
    </row>
    <row r="73" spans="1:10" ht="15.5">
      <c r="A73" s="8">
        <v>45234</v>
      </c>
      <c r="B73" s="2">
        <v>-2300</v>
      </c>
      <c r="C73" s="16" t="s">
        <v>6</v>
      </c>
      <c r="D73" s="10">
        <f t="shared" si="0"/>
        <v>-2800</v>
      </c>
      <c r="E73" s="4"/>
      <c r="F73" s="4"/>
      <c r="G73" s="5"/>
      <c r="H73" s="5"/>
    </row>
    <row r="74" spans="1:10" ht="15.5">
      <c r="A74" s="8">
        <v>45234</v>
      </c>
      <c r="B74" s="12">
        <v>-1300</v>
      </c>
      <c r="C74" s="14" t="s">
        <v>32</v>
      </c>
      <c r="D74" s="10">
        <f t="shared" si="0"/>
        <v>-4100</v>
      </c>
      <c r="E74" s="4"/>
      <c r="F74" s="4"/>
      <c r="G74" s="5">
        <f>SUM(G29:G73)</f>
        <v>367590</v>
      </c>
      <c r="H74" s="5"/>
    </row>
    <row r="75" spans="1:10" ht="15.5">
      <c r="A75" s="8">
        <v>45234</v>
      </c>
      <c r="B75" s="12">
        <v>-1200</v>
      </c>
      <c r="C75" s="14" t="s">
        <v>33</v>
      </c>
      <c r="D75" s="10">
        <f t="shared" si="0"/>
        <v>-5300</v>
      </c>
      <c r="E75" s="4"/>
      <c r="F75" s="4"/>
      <c r="G75" s="5"/>
      <c r="H75" s="5"/>
      <c r="J75" s="11"/>
    </row>
    <row r="76" spans="1:10" ht="15.5">
      <c r="A76" s="8">
        <v>45235</v>
      </c>
      <c r="B76" s="9">
        <f>-300*56</f>
        <v>-16800</v>
      </c>
      <c r="C76" s="3" t="s">
        <v>34</v>
      </c>
      <c r="D76" s="10">
        <f t="shared" si="0"/>
        <v>-22100</v>
      </c>
      <c r="E76" s="4"/>
      <c r="F76" s="4"/>
      <c r="G76" s="5"/>
      <c r="H76" s="5"/>
    </row>
    <row r="77" spans="1:10" ht="15.5">
      <c r="A77" s="8">
        <v>45238</v>
      </c>
      <c r="B77" s="9">
        <v>-600</v>
      </c>
      <c r="C77" s="3" t="s">
        <v>35</v>
      </c>
      <c r="D77" s="10">
        <f t="shared" si="0"/>
        <v>-22700</v>
      </c>
      <c r="E77" s="4"/>
      <c r="F77" s="4"/>
      <c r="G77" s="5"/>
      <c r="H77" s="5"/>
    </row>
    <row r="78" spans="1:10" ht="15.5">
      <c r="A78" s="8">
        <v>45238</v>
      </c>
      <c r="B78" s="9"/>
      <c r="C78" s="3" t="s">
        <v>36</v>
      </c>
      <c r="D78" s="10">
        <f t="shared" si="0"/>
        <v>-22700</v>
      </c>
      <c r="E78" s="4"/>
      <c r="F78" s="4"/>
      <c r="G78" s="5"/>
      <c r="H78" s="5"/>
    </row>
    <row r="79" spans="1:10" ht="15.5">
      <c r="A79" s="8">
        <v>45238</v>
      </c>
      <c r="B79" s="9"/>
      <c r="C79" s="3" t="s">
        <v>37</v>
      </c>
      <c r="D79" s="10">
        <f t="shared" si="0"/>
        <v>-22700</v>
      </c>
      <c r="E79" s="4"/>
      <c r="F79" s="17"/>
      <c r="G79" s="5"/>
      <c r="H79" s="5"/>
    </row>
    <row r="80" spans="1:10" ht="15.5">
      <c r="A80" s="8">
        <v>45234</v>
      </c>
      <c r="B80" s="9">
        <v>-1424</v>
      </c>
      <c r="C80" s="3" t="s">
        <v>38</v>
      </c>
      <c r="D80" s="10">
        <f t="shared" si="0"/>
        <v>-24124</v>
      </c>
      <c r="E80" s="4"/>
      <c r="F80" s="4"/>
      <c r="G80" s="5"/>
      <c r="H80" s="5"/>
    </row>
    <row r="81" spans="1:10" ht="15.5">
      <c r="A81" s="8">
        <v>45238</v>
      </c>
      <c r="B81" s="9"/>
      <c r="C81" s="3"/>
      <c r="D81" s="10">
        <f t="shared" si="0"/>
        <v>-24124</v>
      </c>
      <c r="E81" s="4"/>
      <c r="F81" s="4"/>
      <c r="G81" s="5"/>
      <c r="H81" s="5"/>
    </row>
    <row r="82" spans="1:10" ht="15.5">
      <c r="A82" s="8">
        <v>45240</v>
      </c>
      <c r="B82" s="2">
        <v>-1000</v>
      </c>
      <c r="C82" s="18" t="s">
        <v>31</v>
      </c>
      <c r="D82" s="10">
        <f t="shared" si="0"/>
        <v>-25124</v>
      </c>
      <c r="E82" s="4"/>
      <c r="F82" s="4"/>
      <c r="G82" s="5"/>
      <c r="H82" s="5"/>
    </row>
    <row r="83" spans="1:10" ht="15.5">
      <c r="A83" s="8">
        <v>45239</v>
      </c>
      <c r="B83" s="9">
        <v>-500</v>
      </c>
      <c r="C83" s="3" t="s">
        <v>37</v>
      </c>
      <c r="D83" s="10">
        <f t="shared" si="0"/>
        <v>-25624</v>
      </c>
      <c r="E83" s="4"/>
      <c r="F83" s="4"/>
      <c r="G83" s="5"/>
      <c r="H83" s="5"/>
    </row>
    <row r="84" spans="1:10" ht="15.5">
      <c r="A84" s="8">
        <v>45237</v>
      </c>
      <c r="B84" s="9">
        <v>-2400</v>
      </c>
      <c r="C84" s="3" t="s">
        <v>6</v>
      </c>
      <c r="D84" s="10">
        <f t="shared" si="0"/>
        <v>-28024</v>
      </c>
      <c r="E84" s="4"/>
      <c r="F84" s="4"/>
      <c r="G84" s="5"/>
      <c r="H84" s="5"/>
      <c r="J84" s="11">
        <v>284865</v>
      </c>
    </row>
    <row r="85" spans="1:10" ht="15.5">
      <c r="A85" s="8">
        <v>45237</v>
      </c>
      <c r="B85" s="9">
        <v>-1097</v>
      </c>
      <c r="C85" s="3" t="s">
        <v>33</v>
      </c>
      <c r="D85" s="10">
        <f t="shared" si="0"/>
        <v>-29121</v>
      </c>
      <c r="E85" s="4"/>
      <c r="F85" s="4" t="s">
        <v>39</v>
      </c>
      <c r="G85" s="2">
        <v>385000</v>
      </c>
      <c r="H85" s="5"/>
    </row>
    <row r="86" spans="1:10" ht="15.5">
      <c r="A86" s="8">
        <v>45237</v>
      </c>
      <c r="B86" s="9">
        <v>-1150</v>
      </c>
      <c r="C86" s="3" t="s">
        <v>40</v>
      </c>
      <c r="D86" s="10">
        <f t="shared" si="0"/>
        <v>-30271</v>
      </c>
      <c r="E86" s="4"/>
      <c r="F86" s="4" t="s">
        <v>41</v>
      </c>
      <c r="G86" s="2">
        <v>-3133.64</v>
      </c>
      <c r="H86" s="5"/>
    </row>
    <row r="87" spans="1:10" ht="15.5">
      <c r="A87" s="8">
        <v>45237</v>
      </c>
      <c r="B87" s="9">
        <v>-731</v>
      </c>
      <c r="C87" s="3" t="s">
        <v>42</v>
      </c>
      <c r="D87" s="10">
        <f t="shared" si="0"/>
        <v>-31002</v>
      </c>
      <c r="E87" s="4"/>
      <c r="F87" s="19" t="s">
        <v>43</v>
      </c>
      <c r="G87" s="2">
        <v>-368.66</v>
      </c>
      <c r="H87" s="5"/>
    </row>
    <row r="88" spans="1:10" ht="15.5">
      <c r="A88" s="8">
        <v>45239</v>
      </c>
      <c r="B88" s="9">
        <v>-3050</v>
      </c>
      <c r="C88" s="3" t="s">
        <v>37</v>
      </c>
      <c r="D88" s="10">
        <f t="shared" si="0"/>
        <v>-34052</v>
      </c>
      <c r="E88" s="4"/>
      <c r="F88" s="4" t="s">
        <v>44</v>
      </c>
      <c r="G88" s="2">
        <v>-1163.1300000000001</v>
      </c>
      <c r="H88" s="5"/>
    </row>
    <row r="89" spans="1:10" ht="15.5">
      <c r="A89" s="8">
        <v>45239</v>
      </c>
      <c r="B89" s="9">
        <v>-1173</v>
      </c>
      <c r="C89" s="3" t="s">
        <v>37</v>
      </c>
      <c r="D89" s="10">
        <f t="shared" si="0"/>
        <v>-35225</v>
      </c>
      <c r="E89" s="4"/>
      <c r="F89" s="4" t="s">
        <v>45</v>
      </c>
      <c r="G89" s="2">
        <v>-553</v>
      </c>
      <c r="H89" s="5"/>
    </row>
    <row r="90" spans="1:10" ht="15.5">
      <c r="A90" s="20">
        <v>45258</v>
      </c>
      <c r="B90" s="2">
        <v>-670</v>
      </c>
      <c r="C90" s="18" t="s">
        <v>19</v>
      </c>
      <c r="D90" s="10">
        <f t="shared" si="0"/>
        <v>-35895</v>
      </c>
      <c r="E90" s="4"/>
      <c r="F90" s="4" t="s">
        <v>46</v>
      </c>
      <c r="G90" s="2">
        <v>-553</v>
      </c>
      <c r="H90" s="5"/>
    </row>
    <row r="91" spans="1:10" ht="15.5">
      <c r="A91" s="20">
        <v>45258</v>
      </c>
      <c r="B91" s="2">
        <v>-1412</v>
      </c>
      <c r="C91" s="18" t="s">
        <v>38</v>
      </c>
      <c r="D91" s="10">
        <f t="shared" si="0"/>
        <v>-37307</v>
      </c>
      <c r="E91" s="4"/>
      <c r="F91" s="4" t="s">
        <v>47</v>
      </c>
      <c r="G91" s="2">
        <v>-553</v>
      </c>
      <c r="H91" s="5"/>
    </row>
    <row r="92" spans="1:10" ht="15.5">
      <c r="A92" s="8">
        <v>45257</v>
      </c>
      <c r="B92" s="9">
        <v>-3000</v>
      </c>
      <c r="C92" s="3" t="s">
        <v>6</v>
      </c>
      <c r="D92" s="10">
        <f t="shared" si="0"/>
        <v>-40307</v>
      </c>
      <c r="E92" s="4"/>
      <c r="H92" s="5"/>
    </row>
    <row r="93" spans="1:10" ht="15.5">
      <c r="A93" s="8">
        <v>45257</v>
      </c>
      <c r="B93" s="9">
        <v>-265</v>
      </c>
      <c r="C93" s="3" t="s">
        <v>37</v>
      </c>
      <c r="D93" s="10">
        <f t="shared" si="0"/>
        <v>-40572</v>
      </c>
      <c r="E93" s="4"/>
      <c r="F93" s="4" t="s">
        <v>48</v>
      </c>
      <c r="G93" s="2">
        <f>SUM(G85:G91)</f>
        <v>378675.57</v>
      </c>
      <c r="H93" s="5"/>
    </row>
    <row r="94" spans="1:10" ht="15.5">
      <c r="A94" s="8">
        <v>45257</v>
      </c>
      <c r="B94" s="9">
        <v>-835.44</v>
      </c>
      <c r="C94" s="3"/>
      <c r="D94" s="10">
        <f t="shared" si="0"/>
        <v>-41407.440000000002</v>
      </c>
      <c r="E94" s="4"/>
      <c r="F94" s="4" t="s">
        <v>49</v>
      </c>
      <c r="G94" s="2">
        <f>+G93*0.25</f>
        <v>94668.892500000002</v>
      </c>
      <c r="H94" s="5"/>
    </row>
    <row r="95" spans="1:10" ht="15.5">
      <c r="A95" s="8">
        <v>45257</v>
      </c>
      <c r="B95" s="9">
        <v>-8849</v>
      </c>
      <c r="C95" s="3" t="s">
        <v>37</v>
      </c>
      <c r="D95" s="10">
        <f t="shared" si="0"/>
        <v>-50256.44</v>
      </c>
      <c r="E95" s="4"/>
      <c r="F95" s="4" t="s">
        <v>50</v>
      </c>
      <c r="G95" s="5">
        <v>-90000</v>
      </c>
      <c r="H95" s="5"/>
      <c r="J95" s="2"/>
    </row>
    <row r="96" spans="1:10" ht="15.5">
      <c r="A96" s="8">
        <v>45257</v>
      </c>
      <c r="B96" s="9"/>
      <c r="C96" s="3" t="s">
        <v>51</v>
      </c>
      <c r="D96" s="10">
        <f t="shared" si="0"/>
        <v>-50256.44</v>
      </c>
      <c r="E96" s="4"/>
      <c r="F96" s="4" t="s">
        <v>52</v>
      </c>
      <c r="G96" s="5">
        <f>SUM(G94:G95)</f>
        <v>4668.8925000000017</v>
      </c>
      <c r="H96" s="5"/>
    </row>
    <row r="97" spans="1:10" ht="15.5">
      <c r="A97" s="8">
        <v>45254</v>
      </c>
      <c r="B97" s="9">
        <v>-730</v>
      </c>
      <c r="C97" s="3" t="s">
        <v>53</v>
      </c>
      <c r="D97" s="10">
        <f t="shared" si="0"/>
        <v>-50986.44</v>
      </c>
      <c r="E97" s="4"/>
      <c r="F97" s="4"/>
      <c r="G97" s="5"/>
      <c r="H97" s="5"/>
    </row>
    <row r="98" spans="1:10" ht="15.5">
      <c r="A98" s="8">
        <v>45244</v>
      </c>
      <c r="B98" s="9">
        <v>-350</v>
      </c>
      <c r="C98" s="3" t="s">
        <v>53</v>
      </c>
      <c r="D98" s="10">
        <f t="shared" si="0"/>
        <v>-51336.44</v>
      </c>
      <c r="E98" s="4"/>
      <c r="F98" s="4"/>
      <c r="G98" s="5"/>
      <c r="H98" s="5"/>
      <c r="J98" s="11"/>
    </row>
    <row r="99" spans="1:10" ht="15.5">
      <c r="A99" s="8">
        <v>45243</v>
      </c>
      <c r="B99" s="9">
        <v>-2901</v>
      </c>
      <c r="C99" s="3" t="s">
        <v>6</v>
      </c>
      <c r="D99" s="10">
        <f t="shared" si="0"/>
        <v>-54237.440000000002</v>
      </c>
      <c r="E99" s="4"/>
      <c r="F99" s="4"/>
      <c r="G99" s="5"/>
      <c r="H99" s="5"/>
    </row>
    <row r="100" spans="1:10" ht="15.5">
      <c r="A100" s="8">
        <v>45240</v>
      </c>
      <c r="B100" s="9">
        <v>-1654</v>
      </c>
      <c r="C100" s="3" t="s">
        <v>38</v>
      </c>
      <c r="D100" s="10">
        <f t="shared" si="0"/>
        <v>-55891.44</v>
      </c>
      <c r="E100" s="4"/>
      <c r="F100" s="4"/>
      <c r="G100" s="5"/>
      <c r="H100" s="5">
        <v>284865</v>
      </c>
    </row>
    <row r="101" spans="1:10" ht="15.5">
      <c r="A101" s="8">
        <v>45239</v>
      </c>
      <c r="B101" s="9">
        <v>-2191</v>
      </c>
      <c r="C101" s="3" t="s">
        <v>37</v>
      </c>
      <c r="D101" s="10">
        <f t="shared" si="0"/>
        <v>-58082.44</v>
      </c>
      <c r="E101" s="4"/>
      <c r="F101" s="4"/>
      <c r="G101" s="5"/>
      <c r="H101" s="5">
        <v>90000</v>
      </c>
    </row>
    <row r="102" spans="1:10" ht="15.5">
      <c r="A102" s="8">
        <v>45257</v>
      </c>
      <c r="B102" s="9">
        <v>-3000</v>
      </c>
      <c r="C102" s="3" t="s">
        <v>31</v>
      </c>
      <c r="D102" s="10">
        <f t="shared" ref="D102:D118" si="1">+D101+B102</f>
        <v>-61082.44</v>
      </c>
      <c r="E102" s="4"/>
      <c r="F102" s="17">
        <f>SUM(B25:B100)</f>
        <v>-55891.44</v>
      </c>
      <c r="G102" s="5"/>
      <c r="H102" s="5">
        <v>5000</v>
      </c>
    </row>
    <row r="103" spans="1:10" ht="15.5">
      <c r="A103" s="8">
        <v>45257</v>
      </c>
      <c r="B103" s="9"/>
      <c r="C103" s="3" t="s">
        <v>54</v>
      </c>
      <c r="D103" s="10">
        <f t="shared" si="1"/>
        <v>-61082.44</v>
      </c>
      <c r="E103" s="4"/>
      <c r="F103" s="4"/>
      <c r="G103" s="5"/>
      <c r="H103" s="5">
        <f>SUM(H100:H102)</f>
        <v>379865</v>
      </c>
    </row>
    <row r="104" spans="1:10" ht="15.5">
      <c r="A104" s="8">
        <v>45257</v>
      </c>
      <c r="B104" s="9"/>
      <c r="C104" s="3" t="s">
        <v>55</v>
      </c>
      <c r="D104" s="10">
        <f t="shared" si="1"/>
        <v>-61082.44</v>
      </c>
      <c r="E104" s="4"/>
      <c r="F104" s="4"/>
      <c r="G104" s="5"/>
      <c r="H104" s="5"/>
    </row>
    <row r="105" spans="1:10" ht="15.5">
      <c r="A105" s="8">
        <v>45257</v>
      </c>
      <c r="B105" s="9">
        <v>-12000</v>
      </c>
      <c r="C105" s="3" t="s">
        <v>56</v>
      </c>
      <c r="D105" s="10">
        <f t="shared" si="1"/>
        <v>-73082.44</v>
      </c>
      <c r="E105" s="4"/>
      <c r="F105" s="4"/>
      <c r="G105" s="5"/>
      <c r="H105" s="5"/>
    </row>
    <row r="106" spans="1:10" ht="15.5">
      <c r="A106" s="8">
        <v>45260</v>
      </c>
      <c r="B106" s="9">
        <v>-2000</v>
      </c>
      <c r="C106" s="21" t="s">
        <v>31</v>
      </c>
      <c r="D106" s="10">
        <f t="shared" si="1"/>
        <v>-75082.44</v>
      </c>
      <c r="E106" s="4"/>
      <c r="F106" s="4"/>
      <c r="G106" s="5"/>
      <c r="H106" s="5"/>
    </row>
    <row r="107" spans="1:10" ht="15.5">
      <c r="A107" s="8">
        <v>45260</v>
      </c>
      <c r="B107" s="9">
        <v>-1000</v>
      </c>
      <c r="C107" s="3" t="s">
        <v>57</v>
      </c>
      <c r="D107" s="10">
        <f t="shared" si="1"/>
        <v>-76082.44</v>
      </c>
      <c r="E107" s="4"/>
      <c r="F107" s="4"/>
      <c r="G107" s="5"/>
      <c r="H107" s="5"/>
    </row>
    <row r="108" spans="1:10" ht="15.5">
      <c r="A108" s="8"/>
      <c r="B108" s="9"/>
      <c r="C108" s="3"/>
      <c r="D108" s="10">
        <f t="shared" si="1"/>
        <v>-76082.44</v>
      </c>
      <c r="E108" s="4"/>
      <c r="F108" s="4"/>
      <c r="G108" s="5"/>
      <c r="H108" s="5"/>
    </row>
    <row r="109" spans="1:10" ht="15.5">
      <c r="A109" s="8"/>
      <c r="B109" s="9"/>
      <c r="C109" s="3"/>
      <c r="D109" s="10">
        <f t="shared" si="1"/>
        <v>-76082.44</v>
      </c>
      <c r="E109" s="4"/>
      <c r="F109" s="4"/>
      <c r="G109" s="5"/>
      <c r="H109" s="5"/>
    </row>
    <row r="110" spans="1:10" ht="15.5">
      <c r="A110" s="8"/>
      <c r="B110" s="9"/>
      <c r="C110" s="3"/>
      <c r="D110" s="10">
        <f t="shared" si="1"/>
        <v>-76082.44</v>
      </c>
      <c r="E110" s="4"/>
      <c r="F110" s="4"/>
      <c r="G110" s="5"/>
      <c r="H110" s="5"/>
    </row>
    <row r="111" spans="1:10" ht="15.5">
      <c r="A111" s="8"/>
      <c r="B111" s="9">
        <f>SUM(B70:B110)</f>
        <v>-76082.44</v>
      </c>
      <c r="C111" s="3"/>
      <c r="D111" s="10">
        <f t="shared" si="1"/>
        <v>-152164.88</v>
      </c>
      <c r="E111" s="4"/>
      <c r="F111" s="4"/>
      <c r="G111" s="5"/>
      <c r="H111" s="5"/>
    </row>
    <row r="112" spans="1:10" ht="15.5">
      <c r="A112" s="8"/>
      <c r="B112" s="9"/>
      <c r="C112" s="3"/>
      <c r="D112" s="10">
        <f t="shared" si="1"/>
        <v>-152164.88</v>
      </c>
      <c r="E112" s="4"/>
      <c r="F112" s="4"/>
      <c r="G112" s="5"/>
      <c r="H112" s="5"/>
    </row>
    <row r="113" spans="1:8" ht="15.5">
      <c r="A113" s="8"/>
      <c r="B113" s="9"/>
      <c r="C113" s="3"/>
      <c r="D113" s="10">
        <f t="shared" si="1"/>
        <v>-152164.88</v>
      </c>
      <c r="E113" s="4"/>
      <c r="F113" s="4"/>
      <c r="G113" s="5"/>
      <c r="H113" s="5"/>
    </row>
    <row r="114" spans="1:8" ht="15.5">
      <c r="A114" s="8"/>
      <c r="B114" s="9"/>
      <c r="C114" s="3"/>
      <c r="D114" s="10">
        <f t="shared" si="1"/>
        <v>-152164.88</v>
      </c>
      <c r="E114" s="4"/>
      <c r="F114" s="4"/>
      <c r="G114" s="5"/>
      <c r="H114" s="5"/>
    </row>
    <row r="115" spans="1:8" ht="15.5">
      <c r="A115" s="8"/>
      <c r="B115" s="9">
        <f>SUM(B70:B114)</f>
        <v>-152164.88</v>
      </c>
      <c r="C115" s="3"/>
      <c r="D115" s="10">
        <f t="shared" si="1"/>
        <v>-304329.76</v>
      </c>
      <c r="E115" s="4"/>
      <c r="F115" s="4"/>
      <c r="G115" s="5"/>
      <c r="H115" s="5"/>
    </row>
    <row r="116" spans="1:8" ht="15.5">
      <c r="A116" s="8"/>
      <c r="B116" s="9"/>
      <c r="C116" s="3"/>
      <c r="D116" s="10">
        <f t="shared" si="1"/>
        <v>-304329.76</v>
      </c>
      <c r="E116" s="4"/>
      <c r="F116" s="4"/>
      <c r="G116" s="5"/>
      <c r="H116" s="5"/>
    </row>
    <row r="117" spans="1:8" ht="15.5">
      <c r="A117" s="8"/>
      <c r="B117" s="9"/>
      <c r="C117" s="3"/>
      <c r="D117" s="22">
        <f t="shared" si="1"/>
        <v>-304329.76</v>
      </c>
      <c r="E117" s="4"/>
      <c r="F117" s="4"/>
      <c r="G117" s="5"/>
      <c r="H117" s="5"/>
    </row>
    <row r="118" spans="1:8" ht="15.5">
      <c r="A118" s="8"/>
      <c r="B118" s="9"/>
      <c r="C118" s="3"/>
      <c r="D118" s="22">
        <f t="shared" si="1"/>
        <v>-304329.76</v>
      </c>
      <c r="E118" s="4"/>
      <c r="F118" s="4"/>
      <c r="G118" s="5"/>
      <c r="H118" s="5"/>
    </row>
    <row r="119" spans="1:8" ht="15.5">
      <c r="A119" s="8"/>
      <c r="B119" s="9"/>
      <c r="C119" s="3"/>
      <c r="D119" s="22"/>
      <c r="E119" s="4"/>
      <c r="F119" s="4"/>
      <c r="G119" s="5"/>
      <c r="H119" s="5"/>
    </row>
    <row r="120" spans="1:8" ht="15.5">
      <c r="A120" s="8"/>
      <c r="B120" s="9"/>
      <c r="C120" s="3"/>
      <c r="D120" s="22"/>
      <c r="E120" s="4"/>
      <c r="F120" s="4"/>
      <c r="G120" s="5"/>
      <c r="H120" s="5"/>
    </row>
    <row r="121" spans="1:8" ht="15.5">
      <c r="A121" s="8"/>
      <c r="B121" s="9"/>
      <c r="C121" s="3"/>
      <c r="D121" s="22"/>
      <c r="E121" s="4"/>
      <c r="F121" s="4"/>
      <c r="G121" s="5"/>
      <c r="H121" s="5"/>
    </row>
    <row r="122" spans="1:8" ht="15.5">
      <c r="A122" s="8"/>
      <c r="B122" s="9"/>
      <c r="C122" s="3"/>
      <c r="D122" s="22"/>
      <c r="E122" s="4"/>
      <c r="F122" s="4"/>
      <c r="G122" s="5"/>
      <c r="H122" s="5"/>
    </row>
    <row r="123" spans="1:8" ht="15.5">
      <c r="A123" s="8"/>
      <c r="B123" s="9"/>
      <c r="C123" s="3"/>
      <c r="D123" s="22"/>
      <c r="E123" s="4"/>
      <c r="F123" s="4"/>
      <c r="G123" s="5"/>
      <c r="H123" s="5"/>
    </row>
    <row r="124" spans="1:8" ht="15.5">
      <c r="A124" s="8"/>
      <c r="B124" s="9"/>
      <c r="C124" s="3"/>
      <c r="D124" s="22"/>
      <c r="E124" s="4"/>
      <c r="F124" s="4"/>
      <c r="G124" s="5"/>
      <c r="H124" s="5"/>
    </row>
    <row r="125" spans="1:8" ht="15.5">
      <c r="A125" s="8"/>
      <c r="B125" s="9"/>
      <c r="C125" s="3"/>
      <c r="D125" s="22"/>
      <c r="E125" s="4"/>
      <c r="F125" s="4"/>
      <c r="G125" s="5"/>
      <c r="H125" s="5"/>
    </row>
    <row r="126" spans="1:8" ht="15.5">
      <c r="A126" s="8"/>
      <c r="B126" s="9"/>
      <c r="C126" s="3"/>
      <c r="D126" s="22"/>
      <c r="E126" s="4"/>
      <c r="F126" s="4"/>
      <c r="G126" s="5"/>
      <c r="H126" s="5"/>
    </row>
    <row r="127" spans="1:8" ht="15.5">
      <c r="A127" s="8"/>
      <c r="B127" s="9"/>
      <c r="C127" s="3"/>
      <c r="D127" s="22"/>
      <c r="E127" s="4"/>
      <c r="F127" s="4"/>
      <c r="G127" s="5"/>
      <c r="H127" s="5"/>
    </row>
    <row r="128" spans="1:8" ht="15.5">
      <c r="A128" s="8"/>
      <c r="B128" s="9"/>
      <c r="C128" s="3"/>
      <c r="D128" s="22"/>
      <c r="E128" s="4"/>
      <c r="F128" s="4"/>
      <c r="G128" s="5"/>
      <c r="H128" s="5"/>
    </row>
    <row r="129" spans="1:8" ht="15.5">
      <c r="A129" s="8"/>
      <c r="B129" s="9"/>
      <c r="C129" s="3"/>
      <c r="D129" s="22"/>
      <c r="E129" s="4"/>
      <c r="F129" s="4"/>
      <c r="G129" s="5"/>
      <c r="H129" s="5"/>
    </row>
    <row r="130" spans="1:8" ht="15.5">
      <c r="A130" s="8"/>
      <c r="B130" s="9"/>
      <c r="C130" s="3"/>
      <c r="D130" s="22"/>
      <c r="E130" s="4"/>
      <c r="F130" s="4"/>
      <c r="G130" s="5"/>
      <c r="H130" s="5"/>
    </row>
    <row r="131" spans="1:8" ht="15.5">
      <c r="A131" s="8"/>
      <c r="B131" s="9"/>
      <c r="C131" s="3"/>
      <c r="D131" s="22"/>
      <c r="E131" s="4"/>
      <c r="F131" s="4"/>
      <c r="G131" s="5"/>
      <c r="H131" s="5"/>
    </row>
    <row r="132" spans="1:8" ht="15.5">
      <c r="A132" s="8"/>
      <c r="B132" s="9"/>
      <c r="C132" s="3"/>
      <c r="D132" s="22"/>
      <c r="E132" s="4"/>
      <c r="F132" s="4"/>
      <c r="G132" s="5"/>
      <c r="H132" s="5"/>
    </row>
    <row r="133" spans="1:8" ht="15.5">
      <c r="A133" s="13"/>
      <c r="B133" s="12"/>
      <c r="C133" s="14"/>
      <c r="D133" s="22"/>
      <c r="E133" s="4"/>
      <c r="F133" s="4"/>
      <c r="G133" s="5"/>
      <c r="H133" s="5"/>
    </row>
    <row r="134" spans="1:8" ht="15.5">
      <c r="A134" s="13"/>
      <c r="B134" s="12"/>
      <c r="C134" s="14"/>
      <c r="D134" s="22"/>
      <c r="E134" s="4"/>
      <c r="F134" s="4"/>
      <c r="G134" s="5"/>
      <c r="H134" s="5"/>
    </row>
    <row r="135" spans="1:8" ht="15.5">
      <c r="A135" s="8"/>
      <c r="B135" s="9"/>
      <c r="C135" s="3"/>
      <c r="D135" s="22"/>
      <c r="E135" s="4"/>
      <c r="F135" s="4"/>
      <c r="G135" s="5"/>
      <c r="H135" s="5"/>
    </row>
    <row r="136" spans="1:8" ht="15.5">
      <c r="A136" s="13"/>
      <c r="C136" s="16"/>
      <c r="D136" s="22"/>
      <c r="E136" s="4"/>
      <c r="F136" s="4"/>
      <c r="G136" s="5"/>
      <c r="H136" s="5"/>
    </row>
    <row r="137" spans="1:8" ht="15.5">
      <c r="A137" s="13"/>
      <c r="B137" s="12"/>
      <c r="C137" s="14"/>
      <c r="D137" s="22"/>
      <c r="E137" s="4"/>
      <c r="F137" s="4"/>
      <c r="G137" s="5"/>
      <c r="H137" s="5"/>
    </row>
    <row r="138" spans="1:8" ht="15.5">
      <c r="A138" s="13"/>
      <c r="B138" s="12"/>
      <c r="C138" s="14"/>
      <c r="D138" s="22"/>
      <c r="E138" s="4"/>
      <c r="F138" s="4"/>
      <c r="G138" s="5"/>
      <c r="H138" s="5"/>
    </row>
    <row r="139" spans="1:8" ht="15.5">
      <c r="A139" s="13"/>
      <c r="B139" s="12"/>
      <c r="C139" s="14"/>
      <c r="D139" s="22"/>
      <c r="E139" s="4"/>
      <c r="F139" s="4"/>
      <c r="G139" s="5"/>
      <c r="H139" s="5"/>
    </row>
    <row r="140" spans="1:8" ht="15.5">
      <c r="A140" s="8"/>
      <c r="B140" s="12"/>
      <c r="C140" s="14"/>
      <c r="D140" s="22"/>
      <c r="E140" s="4"/>
      <c r="F140" s="4"/>
      <c r="G140" s="5"/>
      <c r="H140" s="5"/>
    </row>
    <row r="141" spans="1:8" ht="15.5">
      <c r="A141" s="8"/>
      <c r="B141" s="9"/>
      <c r="C141" s="3"/>
      <c r="D141" s="22"/>
      <c r="E141" s="4"/>
      <c r="F141" s="4"/>
      <c r="G141" s="5"/>
      <c r="H141" s="5"/>
    </row>
    <row r="142" spans="1:8" ht="15.5">
      <c r="A142" s="8"/>
      <c r="B142" s="9"/>
      <c r="C142" s="3"/>
      <c r="D142" s="22"/>
      <c r="E142" s="4"/>
      <c r="F142" s="4"/>
      <c r="G142" s="5"/>
      <c r="H142" s="5"/>
    </row>
    <row r="143" spans="1:8" ht="15.5">
      <c r="A143" s="8"/>
      <c r="B143" s="9"/>
      <c r="C143" s="3"/>
      <c r="D143" s="22"/>
      <c r="E143" s="4"/>
      <c r="F143" s="4"/>
      <c r="G143" s="5"/>
      <c r="H143" s="5"/>
    </row>
    <row r="144" spans="1:8" ht="15.5">
      <c r="A144" s="8"/>
      <c r="B144" s="9"/>
      <c r="C144" s="3"/>
      <c r="D144" s="22"/>
      <c r="E144" s="4"/>
      <c r="F144" s="4"/>
      <c r="G144" s="5"/>
      <c r="H144" s="5"/>
    </row>
    <row r="145" spans="1:8" ht="15.5">
      <c r="A145" s="8"/>
      <c r="B145" s="9"/>
      <c r="C145" s="3"/>
      <c r="D145" s="22"/>
      <c r="E145" s="4"/>
      <c r="F145" s="4"/>
      <c r="G145" s="5"/>
      <c r="H145" s="5"/>
    </row>
    <row r="146" spans="1:8" ht="15.5">
      <c r="A146" s="8"/>
      <c r="B146" s="9"/>
      <c r="C146" s="3"/>
      <c r="D146" s="22"/>
      <c r="E146" s="4"/>
      <c r="F146" s="4"/>
      <c r="G146" s="5"/>
      <c r="H146" s="5"/>
    </row>
    <row r="147" spans="1:8" ht="15.5">
      <c r="A147" s="8"/>
      <c r="C147" s="18"/>
      <c r="D147" s="22"/>
      <c r="E147" s="4"/>
      <c r="F147" s="4"/>
      <c r="G147" s="5"/>
      <c r="H147" s="5"/>
    </row>
    <row r="148" spans="1:8" ht="15.5">
      <c r="A148" s="8"/>
      <c r="B148" s="9"/>
      <c r="C148" s="3"/>
      <c r="D148" s="22"/>
      <c r="E148" s="4"/>
      <c r="F148" s="4"/>
      <c r="G148" s="5"/>
      <c r="H148" s="5"/>
    </row>
    <row r="149" spans="1:8" ht="15.5">
      <c r="A149" s="8"/>
      <c r="B149" s="9"/>
      <c r="C149" s="3"/>
      <c r="D149" s="22"/>
      <c r="E149" s="4"/>
      <c r="F149" s="4"/>
      <c r="G149" s="5"/>
      <c r="H149" s="5"/>
    </row>
    <row r="150" spans="1:8" ht="15.5">
      <c r="A150" s="8"/>
      <c r="B150" s="9"/>
      <c r="C150" s="3"/>
      <c r="D150" s="22"/>
      <c r="E150" s="4"/>
      <c r="F150" s="4"/>
      <c r="G150" s="5"/>
      <c r="H150" s="5"/>
    </row>
    <row r="151" spans="1:8" ht="15.5">
      <c r="A151" s="8"/>
      <c r="B151" s="9"/>
      <c r="C151" s="3"/>
      <c r="D151" s="22"/>
      <c r="E151" s="4"/>
      <c r="F151" s="4"/>
      <c r="G151" s="5"/>
      <c r="H151" s="5"/>
    </row>
    <row r="152" spans="1:8" ht="15.5">
      <c r="A152" s="8"/>
      <c r="B152" s="9"/>
      <c r="C152" s="3"/>
      <c r="D152" s="22"/>
      <c r="E152" s="4"/>
      <c r="F152" s="4"/>
      <c r="G152" s="5"/>
      <c r="H152" s="5"/>
    </row>
    <row r="153" spans="1:8" ht="15.5">
      <c r="A153" s="8"/>
      <c r="B153" s="9"/>
      <c r="C153" s="3"/>
      <c r="D153" s="22"/>
      <c r="E153" s="4"/>
      <c r="F153" s="4"/>
      <c r="G153" s="5"/>
      <c r="H153" s="5"/>
    </row>
    <row r="154" spans="1:8" ht="15.5">
      <c r="A154" s="8"/>
      <c r="B154" s="9"/>
      <c r="C154" s="3"/>
      <c r="D154" s="22"/>
      <c r="E154" s="4"/>
      <c r="F154" s="4"/>
      <c r="G154" s="5"/>
      <c r="H154" s="5"/>
    </row>
    <row r="155" spans="1:8" ht="15.5">
      <c r="A155" s="8"/>
      <c r="B155" s="9"/>
      <c r="C155" s="3"/>
      <c r="D155" s="22"/>
      <c r="E155" s="4"/>
      <c r="F155" s="4"/>
      <c r="G155" s="5"/>
      <c r="H155" s="5"/>
    </row>
    <row r="156" spans="1:8" ht="15.5">
      <c r="A156" s="8"/>
      <c r="B156" s="9"/>
      <c r="C156" s="3"/>
      <c r="D156" s="22"/>
      <c r="E156" s="4"/>
      <c r="F156" s="4"/>
      <c r="G156" s="5"/>
      <c r="H156" s="5"/>
    </row>
    <row r="157" spans="1:8" ht="15.5">
      <c r="A157" s="8"/>
      <c r="B157" s="9"/>
      <c r="C157" s="3"/>
      <c r="D157" s="22"/>
      <c r="E157" s="4"/>
      <c r="F157" s="4"/>
      <c r="G157" s="5"/>
      <c r="H157" s="5"/>
    </row>
    <row r="158" spans="1:8" ht="15.5">
      <c r="A158" s="8"/>
      <c r="B158" s="9"/>
      <c r="C158" s="3"/>
      <c r="D158" s="22"/>
      <c r="E158" s="4"/>
      <c r="F158" s="4"/>
      <c r="G158" s="5"/>
      <c r="H158" s="5"/>
    </row>
    <row r="159" spans="1:8" ht="15.5">
      <c r="A159" s="8"/>
      <c r="B159" s="9"/>
      <c r="C159" s="3"/>
      <c r="D159" s="22"/>
      <c r="E159" s="4"/>
      <c r="F159" s="4"/>
      <c r="G159" s="5"/>
      <c r="H159" s="5"/>
    </row>
    <row r="160" spans="1:8" ht="15.5">
      <c r="A160" s="8"/>
      <c r="B160" s="9"/>
      <c r="C160" s="3"/>
      <c r="D160" s="22"/>
      <c r="E160" s="4"/>
      <c r="F160" s="4"/>
      <c r="G160" s="5"/>
      <c r="H160" s="5"/>
    </row>
    <row r="161" spans="1:8" ht="15.5">
      <c r="A161" s="8"/>
      <c r="B161" s="9"/>
      <c r="C161" s="3"/>
      <c r="D161" s="22"/>
      <c r="E161" s="17"/>
      <c r="F161" s="4"/>
      <c r="G161" s="5"/>
      <c r="H161" s="5"/>
    </row>
    <row r="162" spans="1:8" ht="15.5">
      <c r="A162" s="13"/>
      <c r="B162" s="12"/>
      <c r="C162" s="3"/>
      <c r="D162" s="22"/>
    </row>
    <row r="163" spans="1:8" ht="15.5">
      <c r="A163" s="8"/>
      <c r="B163" s="9"/>
      <c r="C163" s="3"/>
      <c r="D163" s="22"/>
      <c r="G163" s="2">
        <v>250</v>
      </c>
      <c r="H163" s="11">
        <f>+F163*G163</f>
        <v>0</v>
      </c>
    </row>
    <row r="164" spans="1:8" ht="15.5">
      <c r="A164" s="8"/>
      <c r="B164" s="9"/>
      <c r="C164" s="3"/>
      <c r="D164" s="22"/>
      <c r="G164" s="2">
        <v>250</v>
      </c>
      <c r="H164" s="11">
        <f>+F164*G164</f>
        <v>0</v>
      </c>
    </row>
    <row r="165" spans="1:8" ht="15.5">
      <c r="A165" s="8"/>
      <c r="B165" s="9"/>
      <c r="C165" s="3"/>
      <c r="D165" s="22"/>
    </row>
    <row r="166" spans="1:8" ht="15.5">
      <c r="A166" s="8"/>
      <c r="B166" s="9"/>
      <c r="C166" s="3"/>
      <c r="D166" s="22"/>
    </row>
    <row r="167" spans="1:8" ht="15.5">
      <c r="A167" s="8"/>
      <c r="B167" s="9"/>
      <c r="C167" s="3"/>
      <c r="D167" s="22"/>
    </row>
    <row r="168" spans="1:8" ht="15.5">
      <c r="A168" s="23"/>
      <c r="B168" s="5"/>
      <c r="C168" s="18"/>
      <c r="D168" s="22"/>
    </row>
    <row r="169" spans="1:8" ht="15.5">
      <c r="A169" s="8"/>
      <c r="B169" s="9"/>
      <c r="C169" s="3"/>
      <c r="D169" s="22"/>
      <c r="H169">
        <v>15000</v>
      </c>
    </row>
    <row r="170" spans="1:8" ht="15.5">
      <c r="A170" s="8"/>
      <c r="B170" s="9"/>
      <c r="C170" s="3"/>
      <c r="D170" s="22"/>
    </row>
    <row r="171" spans="1:8" ht="15.5">
      <c r="A171" s="23"/>
      <c r="B171" s="5"/>
      <c r="C171" s="18"/>
      <c r="D171" s="22"/>
    </row>
    <row r="172" spans="1:8" ht="15.5">
      <c r="A172" s="13"/>
      <c r="B172" s="12"/>
      <c r="C172" s="3"/>
      <c r="D172" s="22"/>
    </row>
    <row r="173" spans="1:8" ht="15.5">
      <c r="A173" s="8"/>
      <c r="B173" s="9"/>
      <c r="C173" s="3"/>
      <c r="D173" s="22"/>
    </row>
    <row r="174" spans="1:8" ht="15.5">
      <c r="A174" s="8"/>
      <c r="B174" s="9"/>
      <c r="C174" s="3"/>
      <c r="D174" s="22"/>
    </row>
    <row r="175" spans="1:8" ht="15.5">
      <c r="A175" s="8"/>
      <c r="B175" s="9"/>
      <c r="C175" s="3"/>
      <c r="D175" s="22"/>
    </row>
    <row r="176" spans="1:8" ht="15.5">
      <c r="A176" s="8"/>
      <c r="B176" s="9"/>
      <c r="C176" s="3"/>
      <c r="D176" s="22"/>
    </row>
    <row r="177" spans="1:8" ht="15.5">
      <c r="A177" s="8"/>
      <c r="B177" s="9"/>
      <c r="C177" s="3"/>
      <c r="D177" s="22"/>
    </row>
    <row r="178" spans="1:8" ht="15.5">
      <c r="A178" s="8"/>
      <c r="B178" s="9"/>
      <c r="C178" s="3"/>
      <c r="D178" s="22"/>
      <c r="F178">
        <v>325000</v>
      </c>
      <c r="G178" s="24">
        <v>3.4200000000000001E-2</v>
      </c>
      <c r="H178" s="11">
        <f>+F178*G178</f>
        <v>11115</v>
      </c>
    </row>
    <row r="179" spans="1:8" ht="15.5">
      <c r="A179" s="8"/>
      <c r="B179" s="9"/>
      <c r="C179" s="3"/>
      <c r="D179" s="22"/>
      <c r="F179">
        <v>1325000</v>
      </c>
      <c r="G179" s="25">
        <v>3.4200000000000001E-2</v>
      </c>
      <c r="H179" s="11">
        <f>+F179*G179</f>
        <v>45315</v>
      </c>
    </row>
    <row r="180" spans="1:8" ht="15.5">
      <c r="A180" s="8"/>
      <c r="B180" s="9"/>
      <c r="C180" s="3"/>
      <c r="D180" s="22"/>
    </row>
    <row r="181" spans="1:8" ht="15.5">
      <c r="A181" s="8"/>
      <c r="B181" s="9"/>
      <c r="C181" s="3"/>
      <c r="D181" s="22"/>
    </row>
    <row r="182" spans="1:8" ht="15.5">
      <c r="A182" s="8"/>
      <c r="B182" s="9"/>
      <c r="C182" s="3"/>
      <c r="D182" s="10"/>
      <c r="F182">
        <f>250*5300</f>
        <v>1325000</v>
      </c>
      <c r="H182">
        <f>SUM(H169:H181)</f>
        <v>71430</v>
      </c>
    </row>
    <row r="183" spans="1:8" ht="15.5">
      <c r="A183" s="8"/>
      <c r="B183" s="9"/>
      <c r="C183" s="3"/>
    </row>
    <row r="184" spans="1:8" ht="15.5">
      <c r="A184" s="8"/>
      <c r="B184" s="9"/>
      <c r="C184" s="3"/>
    </row>
    <row r="185" spans="1:8" ht="15.5">
      <c r="A185" s="8"/>
      <c r="B185" s="9"/>
      <c r="C185" s="3"/>
    </row>
    <row r="186" spans="1:8" ht="15.5">
      <c r="A186" s="8"/>
      <c r="B186" s="9"/>
      <c r="C186" s="3"/>
    </row>
    <row r="187" spans="1:8" ht="15.5">
      <c r="A187" s="8"/>
      <c r="B187" s="9"/>
      <c r="C187" s="3"/>
    </row>
    <row r="188" spans="1:8" ht="15.5">
      <c r="A188" s="8"/>
      <c r="B188" s="9"/>
      <c r="C188" s="3"/>
    </row>
    <row r="189" spans="1:8" ht="15.5">
      <c r="A189" s="8"/>
      <c r="B189" s="9"/>
      <c r="C189" s="3"/>
    </row>
    <row r="190" spans="1:8" ht="15.5">
      <c r="A190" s="8"/>
      <c r="B190" s="9"/>
      <c r="C190" s="3"/>
    </row>
    <row r="191" spans="1:8" ht="15.5">
      <c r="A191" s="8"/>
      <c r="B191" s="9"/>
      <c r="C191" s="3"/>
    </row>
    <row r="192" spans="1:8" ht="15.5">
      <c r="A192" s="8"/>
      <c r="B192" s="9"/>
      <c r="C192" s="3"/>
    </row>
    <row r="193" spans="1:3" ht="15.5">
      <c r="A193" s="8"/>
      <c r="B193" s="9"/>
      <c r="C193" s="3"/>
    </row>
    <row r="194" spans="1:3" ht="15.5">
      <c r="A194" s="8"/>
      <c r="B194" s="9"/>
      <c r="C194" s="3"/>
    </row>
    <row r="195" spans="1:3" ht="15.5">
      <c r="A195" s="8"/>
      <c r="B195" s="12"/>
      <c r="C195" s="14"/>
    </row>
    <row r="196" spans="1:3">
      <c r="A196" s="13"/>
      <c r="C196" s="16"/>
    </row>
    <row r="197" spans="1:3">
      <c r="A197" s="13"/>
      <c r="B197" s="12"/>
      <c r="C197" s="14"/>
    </row>
    <row r="198" spans="1:3">
      <c r="A198" s="13"/>
      <c r="B198" s="12"/>
      <c r="C198" s="14"/>
    </row>
    <row r="199" spans="1:3">
      <c r="A199" s="13"/>
      <c r="B199" s="12"/>
      <c r="C199" s="14"/>
    </row>
    <row r="200" spans="1:3">
      <c r="A200" s="13"/>
      <c r="B200" s="12"/>
      <c r="C200" s="14"/>
    </row>
    <row r="201" spans="1:3">
      <c r="A201" s="13"/>
      <c r="B201" s="12"/>
      <c r="C201" s="14"/>
    </row>
    <row r="202" spans="1:3" ht="15.5">
      <c r="A202" s="8"/>
      <c r="B202" s="9"/>
      <c r="C202" s="3"/>
    </row>
    <row r="203" spans="1:3" ht="15.5">
      <c r="A203" s="8"/>
      <c r="B203" s="9"/>
      <c r="C203" s="3"/>
    </row>
    <row r="204" spans="1:3" ht="15.5">
      <c r="A204" s="8"/>
      <c r="B204" s="9"/>
      <c r="C204" s="3"/>
    </row>
    <row r="205" spans="1:3" ht="15.5">
      <c r="A205" s="8"/>
      <c r="B205" s="9"/>
      <c r="C205" s="3"/>
    </row>
  </sheetData>
  <mergeCells count="2">
    <mergeCell ref="A1:C1"/>
    <mergeCell ref="G2:H2"/>
  </mergeCells>
  <pageMargins left="0.7" right="0.7" top="0.75" bottom="0.75" header="0.511811023622047" footer="0.511811023622047"/>
  <pageSetup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5"/>
  <sheetViews>
    <sheetView zoomScaleNormal="100" workbookViewId="0">
      <selection activeCell="B12" sqref="B12"/>
    </sheetView>
  </sheetViews>
  <sheetFormatPr baseColWidth="10" defaultColWidth="8.7265625" defaultRowHeight="14.5"/>
  <cols>
    <col min="1" max="1" width="7.54296875" customWidth="1"/>
    <col min="2" max="2" width="17.81640625" style="2" customWidth="1"/>
    <col min="3" max="3" width="25.1796875" customWidth="1"/>
    <col min="4" max="4" width="11.81640625" customWidth="1"/>
    <col min="5" max="5" width="11.453125" customWidth="1"/>
    <col min="6" max="6" width="30.453125" customWidth="1"/>
    <col min="7" max="7" width="25.81640625" style="2" customWidth="1"/>
    <col min="8" max="8" width="15.1796875" customWidth="1"/>
    <col min="9" max="9" width="11.1796875" style="2" customWidth="1"/>
    <col min="10" max="10" width="14.81640625" customWidth="1"/>
  </cols>
  <sheetData>
    <row r="1" spans="1:8" ht="15.5">
      <c r="A1" s="209" t="s">
        <v>0</v>
      </c>
      <c r="B1" s="209"/>
      <c r="C1" s="209"/>
      <c r="D1" s="3"/>
      <c r="E1" s="4"/>
      <c r="F1" s="4"/>
      <c r="G1" s="5"/>
      <c r="H1" s="5"/>
    </row>
    <row r="2" spans="1:8" ht="15.5">
      <c r="A2" s="6" t="s">
        <v>1</v>
      </c>
      <c r="B2" s="7" t="s">
        <v>2</v>
      </c>
      <c r="C2" s="6" t="s">
        <v>3</v>
      </c>
      <c r="D2" s="3"/>
      <c r="E2" s="4"/>
      <c r="F2" s="4"/>
      <c r="G2" s="210" t="s">
        <v>4</v>
      </c>
      <c r="H2" s="210"/>
    </row>
    <row r="3" spans="1:8" ht="15.5">
      <c r="A3" s="8">
        <v>45447</v>
      </c>
      <c r="B3" s="9">
        <v>-2295</v>
      </c>
      <c r="C3" s="3" t="s">
        <v>99</v>
      </c>
      <c r="D3" s="10">
        <f>+B3</f>
        <v>-2295</v>
      </c>
      <c r="E3" s="4"/>
      <c r="F3" s="4"/>
      <c r="G3" s="9" t="s">
        <v>6</v>
      </c>
      <c r="H3" s="9">
        <v>20000</v>
      </c>
    </row>
    <row r="4" spans="1:8" ht="15.5">
      <c r="A4" s="8">
        <v>45455</v>
      </c>
      <c r="B4" s="2">
        <v>-3200</v>
      </c>
      <c r="C4" t="s">
        <v>100</v>
      </c>
      <c r="D4" s="11">
        <f>+D3+B4</f>
        <v>-5495</v>
      </c>
      <c r="E4" s="4"/>
      <c r="F4" s="4"/>
      <c r="G4" s="9" t="s">
        <v>7</v>
      </c>
      <c r="H4" s="9">
        <v>30000</v>
      </c>
    </row>
    <row r="5" spans="1:8" ht="15.5">
      <c r="A5" s="8">
        <v>45459</v>
      </c>
      <c r="B5" s="9">
        <v>-2000</v>
      </c>
      <c r="C5" s="3" t="s">
        <v>73</v>
      </c>
      <c r="D5" s="11">
        <f>+D4+B5</f>
        <v>-7495</v>
      </c>
      <c r="E5" s="4"/>
      <c r="F5" s="4"/>
      <c r="G5" s="9" t="s">
        <v>9</v>
      </c>
      <c r="H5" s="9">
        <v>40000</v>
      </c>
    </row>
    <row r="6" spans="1:8" ht="15.5">
      <c r="A6" s="8">
        <v>45459</v>
      </c>
      <c r="B6" s="9">
        <v>-2000</v>
      </c>
      <c r="C6" s="3" t="s">
        <v>101</v>
      </c>
      <c r="D6" s="11">
        <f>+D5+B6</f>
        <v>-9495</v>
      </c>
      <c r="E6" s="4"/>
      <c r="F6" s="4"/>
      <c r="G6" s="9" t="s">
        <v>11</v>
      </c>
      <c r="H6" s="9">
        <v>5000</v>
      </c>
    </row>
    <row r="7" spans="1:8" ht="15.5">
      <c r="A7" s="8">
        <v>45455</v>
      </c>
      <c r="B7" s="9">
        <v>-4000</v>
      </c>
      <c r="C7" s="3" t="s">
        <v>102</v>
      </c>
      <c r="D7" s="11"/>
      <c r="E7" s="4"/>
      <c r="F7" s="4"/>
      <c r="G7" s="9"/>
      <c r="H7" s="9"/>
    </row>
    <row r="8" spans="1:8" ht="15.5">
      <c r="A8" s="8">
        <v>45450</v>
      </c>
      <c r="B8" s="9">
        <v>-2000</v>
      </c>
      <c r="C8" s="3" t="s">
        <v>5</v>
      </c>
      <c r="D8" s="11"/>
      <c r="E8" s="4"/>
      <c r="F8" s="4"/>
      <c r="G8" s="9" t="s">
        <v>13</v>
      </c>
      <c r="H8" s="9">
        <v>3000</v>
      </c>
    </row>
    <row r="9" spans="1:8" ht="15.5">
      <c r="A9" s="8">
        <v>45469</v>
      </c>
      <c r="B9" s="12">
        <v>-25000</v>
      </c>
      <c r="C9" s="3" t="s">
        <v>103</v>
      </c>
      <c r="D9" s="11"/>
      <c r="E9" s="4">
        <v>105000</v>
      </c>
      <c r="F9" s="4" t="s">
        <v>104</v>
      </c>
      <c r="G9" s="9" t="s">
        <v>15</v>
      </c>
      <c r="H9" s="9">
        <v>5000</v>
      </c>
    </row>
    <row r="10" spans="1:8" ht="15.5">
      <c r="A10" s="8">
        <v>45469</v>
      </c>
      <c r="B10" s="9">
        <v>-3000</v>
      </c>
      <c r="C10" s="3" t="s">
        <v>105</v>
      </c>
      <c r="D10" s="11"/>
      <c r="E10" s="4">
        <v>12000</v>
      </c>
      <c r="F10" s="4" t="s">
        <v>106</v>
      </c>
      <c r="G10" s="9" t="s">
        <v>18</v>
      </c>
      <c r="H10" s="9">
        <v>1500</v>
      </c>
    </row>
    <row r="11" spans="1:8" ht="15.5">
      <c r="A11" s="20">
        <v>45457</v>
      </c>
      <c r="B11" s="2">
        <v>-8000</v>
      </c>
      <c r="C11" s="18" t="s">
        <v>107</v>
      </c>
      <c r="D11" s="11"/>
      <c r="E11" s="4">
        <v>8000</v>
      </c>
      <c r="F11" s="4" t="s">
        <v>106</v>
      </c>
      <c r="G11" s="9" t="s">
        <v>19</v>
      </c>
      <c r="H11" s="9">
        <v>10000</v>
      </c>
    </row>
    <row r="12" spans="1:8" ht="15.5">
      <c r="A12" s="20">
        <v>45473</v>
      </c>
      <c r="B12" s="2">
        <v>-11500</v>
      </c>
      <c r="C12" t="s">
        <v>108</v>
      </c>
      <c r="D12" s="11"/>
      <c r="E12" s="4">
        <v>15000</v>
      </c>
      <c r="F12" s="4" t="s">
        <v>34</v>
      </c>
      <c r="G12" s="9" t="s">
        <v>21</v>
      </c>
      <c r="H12" s="9">
        <v>1500</v>
      </c>
    </row>
    <row r="13" spans="1:8" ht="15.5">
      <c r="D13" s="11"/>
      <c r="E13" s="4"/>
      <c r="F13" s="4"/>
      <c r="G13" s="9" t="s">
        <v>23</v>
      </c>
      <c r="H13" s="9">
        <v>25000</v>
      </c>
    </row>
    <row r="14" spans="1:8" ht="15.5">
      <c r="D14" s="11"/>
      <c r="E14" s="4"/>
      <c r="F14" s="4"/>
      <c r="G14" s="9" t="s">
        <v>25</v>
      </c>
      <c r="H14" s="9">
        <v>1500</v>
      </c>
    </row>
    <row r="15" spans="1:8" ht="15.5">
      <c r="D15" s="11"/>
      <c r="E15" s="4"/>
      <c r="F15" s="4"/>
      <c r="G15" s="9"/>
      <c r="H15" s="9"/>
    </row>
    <row r="16" spans="1:8" ht="15.5">
      <c r="A16" s="8"/>
      <c r="B16" s="12"/>
      <c r="C16" s="14"/>
      <c r="D16" s="11"/>
      <c r="E16" s="4">
        <f>SUM(E9:E15)</f>
        <v>140000</v>
      </c>
      <c r="F16" s="4"/>
      <c r="G16" s="9"/>
      <c r="H16" s="9"/>
    </row>
    <row r="17" spans="1:8" ht="15.5">
      <c r="A17" s="8"/>
      <c r="B17" s="12"/>
      <c r="C17" s="14"/>
      <c r="D17" s="11"/>
      <c r="E17" s="4"/>
      <c r="F17" s="4"/>
      <c r="G17" s="15" t="s">
        <v>27</v>
      </c>
      <c r="H17" s="15">
        <f>SUM(H3:H15)</f>
        <v>142500</v>
      </c>
    </row>
    <row r="18" spans="1:8" ht="15.5">
      <c r="A18" s="8"/>
      <c r="B18" s="9"/>
      <c r="C18" s="3"/>
      <c r="D18" s="11"/>
      <c r="E18" s="4"/>
      <c r="F18" s="4"/>
      <c r="G18" s="5" t="s">
        <v>29</v>
      </c>
      <c r="H18" s="5">
        <f>+H17/54</f>
        <v>2638.8888888888887</v>
      </c>
    </row>
    <row r="19" spans="1:8" ht="15.5">
      <c r="A19" s="8"/>
      <c r="B19" s="9"/>
      <c r="C19" s="3"/>
      <c r="D19" s="11"/>
      <c r="E19" s="4">
        <v>9000</v>
      </c>
      <c r="F19" s="4"/>
      <c r="G19" s="5"/>
      <c r="H19" s="5"/>
    </row>
    <row r="20" spans="1:8" ht="15.5">
      <c r="A20" s="8"/>
      <c r="B20" s="12"/>
      <c r="C20" s="3"/>
      <c r="D20" s="11"/>
      <c r="E20" s="4">
        <v>1000</v>
      </c>
      <c r="F20" s="4"/>
      <c r="G20" s="5"/>
      <c r="H20" s="5"/>
    </row>
    <row r="21" spans="1:8" ht="15.5">
      <c r="A21" s="8"/>
      <c r="B21" s="5"/>
      <c r="C21" s="18"/>
      <c r="D21" s="11"/>
      <c r="E21" s="4">
        <v>1500</v>
      </c>
      <c r="F21" s="4"/>
      <c r="G21" s="5" t="s">
        <v>77</v>
      </c>
      <c r="H21" s="5"/>
    </row>
    <row r="22" spans="1:8" ht="15.5">
      <c r="A22" s="8"/>
      <c r="B22" s="9"/>
      <c r="C22" s="3"/>
      <c r="D22" s="11"/>
      <c r="E22" s="4"/>
      <c r="F22" s="4"/>
      <c r="G22" s="5" t="s">
        <v>78</v>
      </c>
      <c r="H22" s="5">
        <f>1100*55</f>
        <v>60500</v>
      </c>
    </row>
    <row r="23" spans="1:8" ht="15.5">
      <c r="A23" s="8"/>
      <c r="B23" s="12"/>
      <c r="C23" s="14"/>
      <c r="D23" s="11"/>
      <c r="E23" s="4">
        <f>SUM(E19:E22)</f>
        <v>11500</v>
      </c>
      <c r="F23" s="4"/>
      <c r="G23" s="5" t="s">
        <v>79</v>
      </c>
      <c r="H23" s="5">
        <v>27000</v>
      </c>
    </row>
    <row r="24" spans="1:8" ht="15.5">
      <c r="A24" s="8"/>
      <c r="B24" s="12"/>
      <c r="C24" s="14"/>
      <c r="D24" s="11"/>
      <c r="E24" s="4"/>
      <c r="F24" s="4"/>
      <c r="G24" s="5"/>
      <c r="H24" s="5"/>
    </row>
    <row r="25" spans="1:8" ht="15.5">
      <c r="A25" s="8"/>
      <c r="B25" s="12"/>
      <c r="C25" s="14"/>
      <c r="D25" s="11"/>
      <c r="E25" s="4"/>
      <c r="F25" s="4"/>
      <c r="G25" s="5" t="s">
        <v>27</v>
      </c>
      <c r="H25" s="17">
        <f>SUM(H22:H24)</f>
        <v>87500</v>
      </c>
    </row>
    <row r="26" spans="1:8" ht="15.5">
      <c r="A26" s="8"/>
      <c r="B26" s="9"/>
      <c r="C26" s="3"/>
      <c r="D26" s="11"/>
      <c r="E26" s="4"/>
      <c r="F26" s="4"/>
      <c r="G26" s="5"/>
      <c r="H26" s="4"/>
    </row>
    <row r="27" spans="1:8" ht="15.5">
      <c r="A27" s="8"/>
      <c r="B27" s="9"/>
      <c r="C27" s="3"/>
      <c r="D27" s="11"/>
      <c r="E27" s="4"/>
      <c r="F27" s="4"/>
      <c r="G27" s="5"/>
      <c r="H27" s="4"/>
    </row>
    <row r="28" spans="1:8" ht="15.5">
      <c r="A28" s="8"/>
      <c r="B28" s="9"/>
      <c r="C28" s="3"/>
      <c r="D28" s="11"/>
      <c r="E28" s="4"/>
      <c r="F28" s="4" t="s">
        <v>80</v>
      </c>
      <c r="G28" s="5"/>
      <c r="H28" s="4"/>
    </row>
    <row r="29" spans="1:8" ht="15.5">
      <c r="A29" s="8"/>
      <c r="B29" s="5"/>
      <c r="C29" s="18"/>
      <c r="D29" s="11"/>
      <c r="E29" s="4"/>
      <c r="F29" s="4" t="s">
        <v>81</v>
      </c>
      <c r="G29" s="5">
        <f>4700*56</f>
        <v>263200</v>
      </c>
      <c r="H29" s="5"/>
    </row>
    <row r="30" spans="1:8" ht="15.5">
      <c r="A30" s="8"/>
      <c r="C30" s="18"/>
      <c r="D30" s="11"/>
      <c r="E30" s="4"/>
      <c r="F30" s="4" t="s">
        <v>82</v>
      </c>
      <c r="G30" s="5">
        <v>10000</v>
      </c>
      <c r="H30" s="5"/>
    </row>
    <row r="31" spans="1:8" ht="15.5">
      <c r="A31" s="8"/>
      <c r="B31" s="9"/>
      <c r="C31" s="3"/>
      <c r="D31" s="11"/>
      <c r="E31" s="4"/>
      <c r="F31" s="4" t="s">
        <v>83</v>
      </c>
      <c r="G31" s="5">
        <v>25000</v>
      </c>
      <c r="H31" s="5"/>
    </row>
    <row r="32" spans="1:8" ht="15.5">
      <c r="A32" s="8"/>
      <c r="B32" s="9"/>
      <c r="C32" s="3"/>
      <c r="D32" s="11"/>
      <c r="E32" s="4"/>
      <c r="F32" s="17" t="s">
        <v>84</v>
      </c>
      <c r="G32" s="5">
        <v>35000</v>
      </c>
      <c r="H32" s="5"/>
    </row>
    <row r="33" spans="1:8" ht="15.5">
      <c r="A33" s="8"/>
      <c r="C33" s="18"/>
      <c r="E33" s="4"/>
      <c r="F33" s="4" t="s">
        <v>85</v>
      </c>
      <c r="G33" s="5">
        <v>9000</v>
      </c>
      <c r="H33" s="5"/>
    </row>
    <row r="34" spans="1:8" ht="15.5">
      <c r="A34" s="8"/>
      <c r="B34" s="9"/>
      <c r="C34" s="3"/>
      <c r="D34" s="11"/>
      <c r="E34" s="4"/>
      <c r="F34" s="4" t="s">
        <v>86</v>
      </c>
      <c r="G34" s="5">
        <v>9000</v>
      </c>
      <c r="H34" s="5"/>
    </row>
    <row r="35" spans="1:8" ht="15.5">
      <c r="A35" s="13"/>
      <c r="B35" s="12"/>
      <c r="C35" s="14"/>
      <c r="E35" s="4"/>
      <c r="F35" s="4"/>
      <c r="G35" s="5"/>
      <c r="H35" s="5"/>
    </row>
    <row r="36" spans="1:8" ht="15.5">
      <c r="A36" s="14"/>
      <c r="B36" s="12"/>
      <c r="C36" s="14"/>
      <c r="D36" s="11"/>
      <c r="E36" s="4"/>
      <c r="F36" s="4"/>
      <c r="G36" s="5"/>
      <c r="H36" s="5"/>
    </row>
    <row r="37" spans="1:8" ht="15.5">
      <c r="A37" s="14"/>
      <c r="B37" s="12"/>
      <c r="C37" s="14"/>
      <c r="D37" s="11"/>
      <c r="E37" s="4"/>
      <c r="F37" s="4"/>
      <c r="G37" s="5"/>
      <c r="H37" s="5"/>
    </row>
    <row r="38" spans="1:8" ht="15.5">
      <c r="A38" s="14"/>
      <c r="B38" s="12"/>
      <c r="C38" s="14"/>
      <c r="D38" s="11"/>
      <c r="E38" s="4"/>
      <c r="F38" s="26" t="s">
        <v>87</v>
      </c>
      <c r="G38" s="26"/>
      <c r="H38" s="5"/>
    </row>
    <row r="39" spans="1:8" ht="15.5">
      <c r="A39" s="14"/>
      <c r="B39" s="12"/>
      <c r="C39" s="14"/>
      <c r="D39" s="11"/>
      <c r="E39" s="4"/>
      <c r="F39" s="26" t="s">
        <v>88</v>
      </c>
      <c r="G39" s="26" t="s">
        <v>89</v>
      </c>
      <c r="H39" s="5"/>
    </row>
    <row r="40" spans="1:8" ht="15.5">
      <c r="A40" s="14"/>
      <c r="B40" s="12"/>
      <c r="C40" s="14"/>
      <c r="D40" s="11"/>
      <c r="E40" s="4"/>
      <c r="F40" s="27">
        <v>1</v>
      </c>
      <c r="G40" s="26">
        <v>1163</v>
      </c>
      <c r="H40" s="5"/>
    </row>
    <row r="41" spans="1:8" ht="15.5">
      <c r="A41" s="8"/>
      <c r="B41" s="9"/>
      <c r="C41" s="3"/>
      <c r="D41" s="11"/>
      <c r="E41" s="4"/>
      <c r="F41" s="27">
        <v>2</v>
      </c>
      <c r="G41" s="26">
        <v>1133</v>
      </c>
      <c r="H41" s="5"/>
    </row>
    <row r="42" spans="1:8" ht="15.5">
      <c r="A42" s="8">
        <v>45374</v>
      </c>
      <c r="B42" s="29">
        <v>-30000</v>
      </c>
      <c r="C42" s="3"/>
      <c r="D42" s="11"/>
      <c r="E42" s="4"/>
      <c r="F42" s="27">
        <v>3</v>
      </c>
      <c r="G42" s="26">
        <v>1150</v>
      </c>
      <c r="H42" s="5"/>
    </row>
    <row r="43" spans="1:8" ht="15.5">
      <c r="A43" s="8">
        <v>45389</v>
      </c>
      <c r="B43" s="30">
        <v>-15000</v>
      </c>
      <c r="C43" s="31"/>
      <c r="D43" s="11"/>
      <c r="E43" s="4"/>
      <c r="F43" s="27">
        <v>4</v>
      </c>
      <c r="G43" s="26">
        <v>1233</v>
      </c>
      <c r="H43" s="5"/>
    </row>
    <row r="44" spans="1:8" ht="15.5">
      <c r="A44" s="8"/>
      <c r="B44" s="12"/>
      <c r="C44" s="3" t="s">
        <v>109</v>
      </c>
      <c r="D44" s="3"/>
      <c r="E44" s="4"/>
      <c r="F44" s="27">
        <v>5</v>
      </c>
      <c r="G44" s="26">
        <v>989</v>
      </c>
      <c r="H44" s="5"/>
    </row>
    <row r="45" spans="1:8" ht="15.5">
      <c r="D45" s="11"/>
      <c r="E45" s="4"/>
      <c r="F45" s="27">
        <v>6</v>
      </c>
      <c r="G45" s="26">
        <v>953</v>
      </c>
      <c r="H45" s="5"/>
    </row>
    <row r="46" spans="1:8" ht="15.5">
      <c r="A46" s="8">
        <v>45409</v>
      </c>
      <c r="B46" s="32">
        <v>-30000</v>
      </c>
      <c r="C46" s="33" t="s">
        <v>110</v>
      </c>
      <c r="D46" s="11"/>
      <c r="E46" s="4"/>
      <c r="F46" s="27">
        <v>7</v>
      </c>
      <c r="G46" s="26">
        <v>864</v>
      </c>
      <c r="H46" s="5"/>
    </row>
    <row r="47" spans="1:8" ht="15.5">
      <c r="A47" s="8">
        <v>45404</v>
      </c>
      <c r="B47" s="34">
        <v>-20000</v>
      </c>
      <c r="C47" s="35" t="s">
        <v>111</v>
      </c>
      <c r="D47" s="11"/>
      <c r="E47" s="4"/>
      <c r="F47" s="27">
        <v>8</v>
      </c>
      <c r="G47" s="26">
        <v>710</v>
      </c>
      <c r="H47" s="5"/>
    </row>
    <row r="48" spans="1:8" ht="15.5">
      <c r="A48" s="8">
        <v>45394</v>
      </c>
      <c r="B48" s="34">
        <v>-15000</v>
      </c>
      <c r="C48" s="35" t="s">
        <v>112</v>
      </c>
      <c r="D48" s="11"/>
      <c r="E48" s="4"/>
      <c r="F48" s="28"/>
      <c r="G48" s="26"/>
      <c r="H48" s="5"/>
    </row>
    <row r="49" spans="1:8" ht="15.5">
      <c r="A49" s="8"/>
      <c r="B49" s="9"/>
      <c r="C49" s="3"/>
      <c r="D49" s="11"/>
      <c r="E49" s="4">
        <v>70000</v>
      </c>
      <c r="F49" s="26"/>
      <c r="G49" s="26">
        <f>SUM(G40:G48)</f>
        <v>8195</v>
      </c>
      <c r="H49" s="5"/>
    </row>
    <row r="50" spans="1:8" ht="15.5">
      <c r="A50" s="8"/>
      <c r="B50" s="9">
        <f>SUM(B42:B49)</f>
        <v>-110000</v>
      </c>
      <c r="C50" s="3"/>
      <c r="D50" s="11"/>
      <c r="E50" s="4">
        <v>65000</v>
      </c>
      <c r="F50" s="4"/>
      <c r="G50" s="5"/>
      <c r="H50" s="5"/>
    </row>
    <row r="51" spans="1:8" ht="15.5">
      <c r="A51" s="8"/>
      <c r="B51" s="9"/>
      <c r="C51" s="3"/>
      <c r="D51" s="11"/>
      <c r="E51" s="4"/>
      <c r="F51" s="4"/>
      <c r="G51" s="5"/>
      <c r="H51" s="5"/>
    </row>
    <row r="52" spans="1:8" ht="15.5">
      <c r="A52" s="8"/>
      <c r="B52" s="9"/>
      <c r="C52" s="3"/>
      <c r="D52" s="11"/>
      <c r="E52" s="4">
        <f>SUM(E49:E51)</f>
        <v>135000</v>
      </c>
      <c r="F52" s="4"/>
      <c r="G52" s="5"/>
      <c r="H52" s="5"/>
    </row>
    <row r="53" spans="1:8" ht="15.5">
      <c r="A53" s="8"/>
      <c r="B53" s="9"/>
      <c r="C53" s="3"/>
      <c r="D53" s="11"/>
      <c r="E53" s="4"/>
      <c r="F53" s="4"/>
      <c r="G53" s="5"/>
      <c r="H53" s="5">
        <v>50000</v>
      </c>
    </row>
    <row r="54" spans="1:8" ht="15.5">
      <c r="A54" s="8"/>
      <c r="B54" s="9">
        <f>SUM(B9:B53)</f>
        <v>-267500</v>
      </c>
      <c r="C54" s="3"/>
      <c r="D54" s="11"/>
      <c r="E54" s="4"/>
      <c r="F54" s="4"/>
      <c r="G54" s="5"/>
      <c r="H54" s="5">
        <v>80000</v>
      </c>
    </row>
    <row r="55" spans="1:8" ht="15.5">
      <c r="A55" s="8"/>
      <c r="B55" s="9"/>
      <c r="C55" s="3"/>
      <c r="D55" s="11"/>
      <c r="E55" s="4"/>
      <c r="F55" s="4"/>
      <c r="G55" s="5"/>
      <c r="H55" s="5"/>
    </row>
    <row r="56" spans="1:8" ht="15.5">
      <c r="A56" s="8"/>
      <c r="B56" s="9"/>
      <c r="C56" s="3"/>
      <c r="D56" s="11"/>
      <c r="E56" s="4"/>
      <c r="F56" s="4"/>
      <c r="G56" s="5"/>
      <c r="H56" s="5"/>
    </row>
    <row r="57" spans="1:8" ht="15.5">
      <c r="A57" s="8"/>
      <c r="B57" s="9"/>
      <c r="C57" s="3"/>
      <c r="D57" s="11"/>
      <c r="E57" s="4"/>
      <c r="F57" s="4"/>
      <c r="G57" s="5"/>
      <c r="H57" s="5"/>
    </row>
    <row r="58" spans="1:8" ht="15.5">
      <c r="A58" s="8"/>
      <c r="B58" s="9"/>
      <c r="C58" s="3"/>
      <c r="D58" s="11"/>
      <c r="E58" s="4"/>
      <c r="F58" s="4"/>
      <c r="G58" s="5"/>
      <c r="H58" s="5"/>
    </row>
    <row r="59" spans="1:8" ht="15.5">
      <c r="A59" s="8"/>
      <c r="B59" s="9"/>
      <c r="C59" s="3"/>
      <c r="D59" s="11"/>
      <c r="E59" s="4"/>
      <c r="F59" s="4"/>
      <c r="G59" s="5"/>
      <c r="H59" s="5"/>
    </row>
    <row r="60" spans="1:8" ht="15.5">
      <c r="A60" s="8"/>
      <c r="B60" s="9"/>
      <c r="C60" s="3"/>
      <c r="D60" s="11"/>
      <c r="E60" s="4"/>
      <c r="F60" s="4"/>
      <c r="G60" s="5"/>
      <c r="H60" s="5"/>
    </row>
    <row r="61" spans="1:8" ht="15.5">
      <c r="A61" s="8"/>
      <c r="B61" s="9"/>
      <c r="C61" s="3"/>
      <c r="D61" s="11"/>
      <c r="E61" s="4"/>
      <c r="F61" s="4"/>
      <c r="G61" s="5"/>
      <c r="H61" s="5"/>
    </row>
    <row r="62" spans="1:8" ht="15.5">
      <c r="A62" s="8"/>
      <c r="B62" s="9"/>
      <c r="C62" s="3"/>
      <c r="D62" s="22"/>
      <c r="E62" s="4"/>
      <c r="F62" s="4"/>
      <c r="G62" s="5"/>
      <c r="H62" s="5"/>
    </row>
    <row r="63" spans="1:8" ht="15.5">
      <c r="A63" s="8"/>
      <c r="B63" s="9"/>
      <c r="C63" s="3"/>
      <c r="D63" s="22"/>
      <c r="E63" s="4"/>
      <c r="F63" s="4"/>
      <c r="G63" s="5"/>
      <c r="H63" s="5"/>
    </row>
    <row r="64" spans="1:8" ht="15.5">
      <c r="A64" s="8"/>
      <c r="B64" s="9"/>
      <c r="C64" s="3"/>
      <c r="D64" s="22"/>
      <c r="E64" s="4"/>
      <c r="F64" s="4"/>
      <c r="G64" s="5"/>
      <c r="H64" s="5"/>
    </row>
    <row r="65" spans="1:10" ht="15.5">
      <c r="A65" s="8"/>
      <c r="B65" s="9"/>
      <c r="C65" s="3"/>
      <c r="D65" s="22"/>
      <c r="E65" s="4"/>
      <c r="F65" s="4"/>
      <c r="G65" s="5"/>
      <c r="H65" s="5"/>
    </row>
    <row r="66" spans="1:10" ht="15.5">
      <c r="A66" s="8"/>
      <c r="B66" s="9"/>
      <c r="C66" s="3"/>
      <c r="D66" s="22"/>
      <c r="E66" s="4"/>
      <c r="F66" s="4"/>
      <c r="G66" s="5"/>
      <c r="H66" s="5"/>
    </row>
    <row r="67" spans="1:10" ht="15.5">
      <c r="A67" s="8"/>
      <c r="B67" s="9"/>
      <c r="C67" s="3"/>
      <c r="D67" s="22"/>
      <c r="E67" s="4"/>
      <c r="F67" s="4"/>
      <c r="G67" s="5"/>
      <c r="H67" s="5"/>
    </row>
    <row r="68" spans="1:10" ht="15.5">
      <c r="A68" s="8"/>
      <c r="B68" s="9"/>
      <c r="C68" s="3"/>
      <c r="D68" s="22"/>
      <c r="E68" s="4"/>
      <c r="F68" s="4"/>
      <c r="G68" s="5"/>
      <c r="H68" s="5"/>
    </row>
    <row r="69" spans="1:10" ht="15.5">
      <c r="A69" s="8"/>
      <c r="B69" s="9"/>
      <c r="C69" s="3"/>
      <c r="D69" s="22"/>
      <c r="E69" s="4"/>
      <c r="F69" s="4"/>
      <c r="G69" s="5"/>
      <c r="H69" s="5"/>
    </row>
    <row r="70" spans="1:10" ht="15.5">
      <c r="A70" s="8">
        <v>45232</v>
      </c>
      <c r="B70" s="12"/>
      <c r="C70" s="14" t="s">
        <v>30</v>
      </c>
      <c r="D70" s="10">
        <f t="shared" ref="D70:D101" si="0">+D69+B70</f>
        <v>0</v>
      </c>
      <c r="E70" s="4"/>
      <c r="F70" s="4"/>
      <c r="G70" s="5"/>
      <c r="H70" s="5"/>
    </row>
    <row r="71" spans="1:10" ht="15.5">
      <c r="A71" s="8">
        <v>45232</v>
      </c>
      <c r="B71" s="12"/>
      <c r="C71" s="14" t="s">
        <v>19</v>
      </c>
      <c r="D71" s="10">
        <f t="shared" si="0"/>
        <v>0</v>
      </c>
      <c r="E71" s="4"/>
      <c r="F71" s="4"/>
      <c r="G71" s="5"/>
      <c r="H71" s="5"/>
    </row>
    <row r="72" spans="1:10" ht="15.5">
      <c r="A72" s="8">
        <v>45233</v>
      </c>
      <c r="B72" s="9">
        <v>-500</v>
      </c>
      <c r="C72" s="3" t="s">
        <v>31</v>
      </c>
      <c r="D72" s="10">
        <f t="shared" si="0"/>
        <v>-500</v>
      </c>
      <c r="E72" s="4"/>
      <c r="F72" s="4"/>
      <c r="G72" s="5"/>
      <c r="H72" s="5"/>
      <c r="J72" s="2"/>
    </row>
    <row r="73" spans="1:10" ht="15.5">
      <c r="A73" s="8">
        <v>45234</v>
      </c>
      <c r="B73" s="2">
        <v>-2300</v>
      </c>
      <c r="C73" s="16" t="s">
        <v>6</v>
      </c>
      <c r="D73" s="10">
        <f t="shared" si="0"/>
        <v>-2800</v>
      </c>
      <c r="E73" s="4"/>
      <c r="F73" s="4"/>
      <c r="G73" s="5"/>
      <c r="H73" s="5"/>
    </row>
    <row r="74" spans="1:10" ht="15.5">
      <c r="A74" s="8">
        <v>45234</v>
      </c>
      <c r="B74" s="12">
        <v>-1300</v>
      </c>
      <c r="C74" s="14" t="s">
        <v>32</v>
      </c>
      <c r="D74" s="10">
        <f t="shared" si="0"/>
        <v>-4100</v>
      </c>
      <c r="E74" s="4"/>
      <c r="F74" s="4"/>
      <c r="G74" s="5">
        <f>SUM(G29:G73)</f>
        <v>367590</v>
      </c>
      <c r="H74" s="5"/>
    </row>
    <row r="75" spans="1:10" ht="15.5">
      <c r="A75" s="8">
        <v>45234</v>
      </c>
      <c r="B75" s="12">
        <v>-1200</v>
      </c>
      <c r="C75" s="14" t="s">
        <v>33</v>
      </c>
      <c r="D75" s="10">
        <f t="shared" si="0"/>
        <v>-5300</v>
      </c>
      <c r="E75" s="4"/>
      <c r="F75" s="4"/>
      <c r="G75" s="5"/>
      <c r="H75" s="5"/>
      <c r="J75" s="11"/>
    </row>
    <row r="76" spans="1:10" ht="15.5">
      <c r="A76" s="8">
        <v>45235</v>
      </c>
      <c r="B76" s="9">
        <f>-300*56</f>
        <v>-16800</v>
      </c>
      <c r="C76" s="3" t="s">
        <v>34</v>
      </c>
      <c r="D76" s="10">
        <f t="shared" si="0"/>
        <v>-22100</v>
      </c>
      <c r="E76" s="4"/>
      <c r="F76" s="4"/>
      <c r="G76" s="5"/>
      <c r="H76" s="5"/>
    </row>
    <row r="77" spans="1:10" ht="15.5">
      <c r="A77" s="8">
        <v>45238</v>
      </c>
      <c r="B77" s="9">
        <v>-600</v>
      </c>
      <c r="C77" s="3" t="s">
        <v>35</v>
      </c>
      <c r="D77" s="10">
        <f t="shared" si="0"/>
        <v>-22700</v>
      </c>
      <c r="E77" s="4"/>
      <c r="F77" s="4"/>
      <c r="G77" s="5"/>
      <c r="H77" s="5"/>
    </row>
    <row r="78" spans="1:10" ht="15.5">
      <c r="A78" s="8">
        <v>45238</v>
      </c>
      <c r="B78" s="9"/>
      <c r="C78" s="3" t="s">
        <v>36</v>
      </c>
      <c r="D78" s="10">
        <f t="shared" si="0"/>
        <v>-22700</v>
      </c>
      <c r="E78" s="4"/>
      <c r="F78" s="4"/>
      <c r="G78" s="5"/>
      <c r="H78" s="5"/>
    </row>
    <row r="79" spans="1:10" ht="15.5">
      <c r="A79" s="8">
        <v>45238</v>
      </c>
      <c r="B79" s="9"/>
      <c r="C79" s="3" t="s">
        <v>37</v>
      </c>
      <c r="D79" s="10">
        <f t="shared" si="0"/>
        <v>-22700</v>
      </c>
      <c r="E79" s="4"/>
      <c r="F79" s="17"/>
      <c r="G79" s="5"/>
      <c r="H79" s="5"/>
    </row>
    <row r="80" spans="1:10" ht="15.5">
      <c r="A80" s="8">
        <v>45234</v>
      </c>
      <c r="B80" s="9">
        <v>-1424</v>
      </c>
      <c r="C80" s="3" t="s">
        <v>38</v>
      </c>
      <c r="D80" s="10">
        <f t="shared" si="0"/>
        <v>-24124</v>
      </c>
      <c r="E80" s="4"/>
      <c r="F80" s="4"/>
      <c r="G80" s="5"/>
      <c r="H80" s="5"/>
    </row>
    <row r="81" spans="1:10" ht="15.5">
      <c r="A81" s="8">
        <v>45238</v>
      </c>
      <c r="B81" s="9"/>
      <c r="C81" s="3"/>
      <c r="D81" s="10">
        <f t="shared" si="0"/>
        <v>-24124</v>
      </c>
      <c r="E81" s="4"/>
      <c r="F81" s="4"/>
      <c r="G81" s="5"/>
      <c r="H81" s="5"/>
    </row>
    <row r="82" spans="1:10" ht="15.5">
      <c r="A82" s="8">
        <v>45240</v>
      </c>
      <c r="B82" s="2">
        <v>-1000</v>
      </c>
      <c r="C82" s="18" t="s">
        <v>31</v>
      </c>
      <c r="D82" s="10">
        <f t="shared" si="0"/>
        <v>-25124</v>
      </c>
      <c r="E82" s="4"/>
      <c r="F82" s="4"/>
      <c r="G82" s="5"/>
      <c r="H82" s="5"/>
    </row>
    <row r="83" spans="1:10" ht="15.5">
      <c r="A83" s="8">
        <v>45239</v>
      </c>
      <c r="B83" s="9">
        <v>-500</v>
      </c>
      <c r="C83" s="3" t="s">
        <v>37</v>
      </c>
      <c r="D83" s="10">
        <f t="shared" si="0"/>
        <v>-25624</v>
      </c>
      <c r="E83" s="4"/>
      <c r="F83" s="4"/>
      <c r="G83" s="5"/>
      <c r="H83" s="5"/>
    </row>
    <row r="84" spans="1:10" ht="15.5">
      <c r="A84" s="8">
        <v>45237</v>
      </c>
      <c r="B84" s="9">
        <v>-2400</v>
      </c>
      <c r="C84" s="3" t="s">
        <v>6</v>
      </c>
      <c r="D84" s="10">
        <f t="shared" si="0"/>
        <v>-28024</v>
      </c>
      <c r="E84" s="4"/>
      <c r="F84" s="4"/>
      <c r="G84" s="5"/>
      <c r="H84" s="5"/>
      <c r="J84" s="11">
        <v>284865</v>
      </c>
    </row>
    <row r="85" spans="1:10" ht="15.5">
      <c r="A85" s="8">
        <v>45237</v>
      </c>
      <c r="B85" s="9">
        <v>-1097</v>
      </c>
      <c r="C85" s="3" t="s">
        <v>33</v>
      </c>
      <c r="D85" s="10">
        <f t="shared" si="0"/>
        <v>-29121</v>
      </c>
      <c r="E85" s="4"/>
      <c r="F85" s="4" t="s">
        <v>39</v>
      </c>
      <c r="G85" s="2">
        <v>385000</v>
      </c>
      <c r="H85" s="5"/>
    </row>
    <row r="86" spans="1:10" ht="15.5">
      <c r="A86" s="8">
        <v>45237</v>
      </c>
      <c r="B86" s="9">
        <v>-1150</v>
      </c>
      <c r="C86" s="3" t="s">
        <v>40</v>
      </c>
      <c r="D86" s="10">
        <f t="shared" si="0"/>
        <v>-30271</v>
      </c>
      <c r="E86" s="4"/>
      <c r="F86" s="4" t="s">
        <v>41</v>
      </c>
      <c r="G86" s="2">
        <v>-3133.64</v>
      </c>
      <c r="H86" s="5"/>
    </row>
    <row r="87" spans="1:10" ht="15.5">
      <c r="A87" s="8">
        <v>45237</v>
      </c>
      <c r="B87" s="9">
        <v>-731</v>
      </c>
      <c r="C87" s="3" t="s">
        <v>42</v>
      </c>
      <c r="D87" s="10">
        <f t="shared" si="0"/>
        <v>-31002</v>
      </c>
      <c r="E87" s="4"/>
      <c r="F87" s="19" t="s">
        <v>43</v>
      </c>
      <c r="G87" s="2">
        <v>-368.66</v>
      </c>
      <c r="H87" s="5"/>
    </row>
    <row r="88" spans="1:10" ht="15.5">
      <c r="A88" s="8">
        <v>45239</v>
      </c>
      <c r="B88" s="9">
        <v>-3050</v>
      </c>
      <c r="C88" s="3" t="s">
        <v>37</v>
      </c>
      <c r="D88" s="10">
        <f t="shared" si="0"/>
        <v>-34052</v>
      </c>
      <c r="E88" s="4"/>
      <c r="F88" s="4" t="s">
        <v>44</v>
      </c>
      <c r="G88" s="2">
        <v>-1163.1300000000001</v>
      </c>
      <c r="H88" s="5"/>
    </row>
    <row r="89" spans="1:10" ht="15.5">
      <c r="A89" s="8">
        <v>45239</v>
      </c>
      <c r="B89" s="9">
        <v>-1173</v>
      </c>
      <c r="C89" s="3" t="s">
        <v>37</v>
      </c>
      <c r="D89" s="10">
        <f t="shared" si="0"/>
        <v>-35225</v>
      </c>
      <c r="E89" s="4"/>
      <c r="F89" s="4" t="s">
        <v>45</v>
      </c>
      <c r="G89" s="2">
        <v>-553</v>
      </c>
      <c r="H89" s="5"/>
    </row>
    <row r="90" spans="1:10" ht="15.5">
      <c r="A90" s="20">
        <v>45258</v>
      </c>
      <c r="B90" s="2">
        <v>-670</v>
      </c>
      <c r="C90" s="18" t="s">
        <v>19</v>
      </c>
      <c r="D90" s="10">
        <f t="shared" si="0"/>
        <v>-35895</v>
      </c>
      <c r="E90" s="4"/>
      <c r="F90" s="4" t="s">
        <v>46</v>
      </c>
      <c r="G90" s="2">
        <v>-553</v>
      </c>
      <c r="H90" s="5"/>
    </row>
    <row r="91" spans="1:10" ht="15.5">
      <c r="A91" s="20">
        <v>45258</v>
      </c>
      <c r="B91" s="2">
        <v>-1412</v>
      </c>
      <c r="C91" s="18" t="s">
        <v>38</v>
      </c>
      <c r="D91" s="10">
        <f t="shared" si="0"/>
        <v>-37307</v>
      </c>
      <c r="E91" s="4"/>
      <c r="F91" s="4" t="s">
        <v>47</v>
      </c>
      <c r="G91" s="2">
        <v>-553</v>
      </c>
      <c r="H91" s="5"/>
    </row>
    <row r="92" spans="1:10" ht="15.5">
      <c r="A92" s="8">
        <v>45257</v>
      </c>
      <c r="B92" s="9">
        <v>-3000</v>
      </c>
      <c r="C92" s="3" t="s">
        <v>6</v>
      </c>
      <c r="D92" s="10">
        <f t="shared" si="0"/>
        <v>-40307</v>
      </c>
      <c r="E92" s="4"/>
      <c r="H92" s="5"/>
    </row>
    <row r="93" spans="1:10" ht="15.5">
      <c r="A93" s="8">
        <v>45257</v>
      </c>
      <c r="B93" s="9">
        <v>-265</v>
      </c>
      <c r="C93" s="3" t="s">
        <v>37</v>
      </c>
      <c r="D93" s="10">
        <f t="shared" si="0"/>
        <v>-40572</v>
      </c>
      <c r="E93" s="4"/>
      <c r="F93" s="4" t="s">
        <v>48</v>
      </c>
      <c r="G93" s="2">
        <f>SUM(G85:G91)</f>
        <v>378675.57</v>
      </c>
      <c r="H93" s="5"/>
    </row>
    <row r="94" spans="1:10" ht="15.5">
      <c r="A94" s="8">
        <v>45257</v>
      </c>
      <c r="B94" s="9">
        <v>-835.44</v>
      </c>
      <c r="C94" s="3"/>
      <c r="D94" s="10">
        <f t="shared" si="0"/>
        <v>-41407.440000000002</v>
      </c>
      <c r="E94" s="4"/>
      <c r="F94" s="4" t="s">
        <v>49</v>
      </c>
      <c r="G94" s="2">
        <f>+G93*0.25</f>
        <v>94668.892500000002</v>
      </c>
      <c r="H94" s="5"/>
    </row>
    <row r="95" spans="1:10" ht="15.5">
      <c r="A95" s="8">
        <v>45257</v>
      </c>
      <c r="B95" s="9">
        <v>-8849</v>
      </c>
      <c r="C95" s="3" t="s">
        <v>37</v>
      </c>
      <c r="D95" s="10">
        <f t="shared" si="0"/>
        <v>-50256.44</v>
      </c>
      <c r="E95" s="4"/>
      <c r="F95" s="4" t="s">
        <v>50</v>
      </c>
      <c r="G95" s="5">
        <v>-90000</v>
      </c>
      <c r="H95" s="5"/>
      <c r="J95" s="2"/>
    </row>
    <row r="96" spans="1:10" ht="15.5">
      <c r="A96" s="8">
        <v>45257</v>
      </c>
      <c r="B96" s="9"/>
      <c r="C96" s="3" t="s">
        <v>51</v>
      </c>
      <c r="D96" s="10">
        <f t="shared" si="0"/>
        <v>-50256.44</v>
      </c>
      <c r="E96" s="4"/>
      <c r="F96" s="4" t="s">
        <v>52</v>
      </c>
      <c r="G96" s="5">
        <f>SUM(G94:G95)</f>
        <v>4668.8925000000017</v>
      </c>
      <c r="H96" s="5"/>
    </row>
    <row r="97" spans="1:10" ht="15.5">
      <c r="A97" s="8">
        <v>45254</v>
      </c>
      <c r="B97" s="9">
        <v>-730</v>
      </c>
      <c r="C97" s="3" t="s">
        <v>53</v>
      </c>
      <c r="D97" s="10">
        <f t="shared" si="0"/>
        <v>-50986.44</v>
      </c>
      <c r="E97" s="4"/>
      <c r="F97" s="4"/>
      <c r="G97" s="5"/>
      <c r="H97" s="5"/>
    </row>
    <row r="98" spans="1:10" ht="15.5">
      <c r="A98" s="8">
        <v>45244</v>
      </c>
      <c r="B98" s="9">
        <v>-350</v>
      </c>
      <c r="C98" s="3" t="s">
        <v>53</v>
      </c>
      <c r="D98" s="10">
        <f t="shared" si="0"/>
        <v>-51336.44</v>
      </c>
      <c r="E98" s="4"/>
      <c r="F98" s="4"/>
      <c r="G98" s="5"/>
      <c r="H98" s="5"/>
      <c r="J98" s="11"/>
    </row>
    <row r="99" spans="1:10" ht="15.5">
      <c r="A99" s="8">
        <v>45243</v>
      </c>
      <c r="B99" s="9">
        <v>-2901</v>
      </c>
      <c r="C99" s="3" t="s">
        <v>6</v>
      </c>
      <c r="D99" s="10">
        <f t="shared" si="0"/>
        <v>-54237.440000000002</v>
      </c>
      <c r="E99" s="4"/>
      <c r="F99" s="4"/>
      <c r="G99" s="5"/>
      <c r="H99" s="5"/>
    </row>
    <row r="100" spans="1:10" ht="15.5">
      <c r="A100" s="8">
        <v>45240</v>
      </c>
      <c r="B100" s="9">
        <v>-1654</v>
      </c>
      <c r="C100" s="3" t="s">
        <v>38</v>
      </c>
      <c r="D100" s="10">
        <f t="shared" si="0"/>
        <v>-55891.44</v>
      </c>
      <c r="E100" s="4"/>
      <c r="F100" s="4"/>
      <c r="G100" s="5"/>
      <c r="H100" s="5">
        <v>284865</v>
      </c>
    </row>
    <row r="101" spans="1:10" ht="15.5">
      <c r="A101" s="8">
        <v>45239</v>
      </c>
      <c r="B101" s="9">
        <v>-2191</v>
      </c>
      <c r="C101" s="3" t="s">
        <v>37</v>
      </c>
      <c r="D101" s="10">
        <f t="shared" si="0"/>
        <v>-58082.44</v>
      </c>
      <c r="E101" s="4"/>
      <c r="F101" s="4"/>
      <c r="G101" s="5"/>
      <c r="H101" s="5">
        <v>90000</v>
      </c>
    </row>
    <row r="102" spans="1:10" ht="15.5">
      <c r="A102" s="8">
        <v>45257</v>
      </c>
      <c r="B102" s="9">
        <v>-3000</v>
      </c>
      <c r="C102" s="3" t="s">
        <v>31</v>
      </c>
      <c r="D102" s="10">
        <f t="shared" ref="D102:D118" si="1">+D101+B102</f>
        <v>-61082.44</v>
      </c>
      <c r="E102" s="4"/>
      <c r="F102" s="17">
        <f>SUM(B25:B100)</f>
        <v>-543391.43999999994</v>
      </c>
      <c r="G102" s="5"/>
      <c r="H102" s="5">
        <v>5000</v>
      </c>
    </row>
    <row r="103" spans="1:10" ht="15.5">
      <c r="A103" s="8">
        <v>45257</v>
      </c>
      <c r="B103" s="9"/>
      <c r="C103" s="3" t="s">
        <v>54</v>
      </c>
      <c r="D103" s="10">
        <f t="shared" si="1"/>
        <v>-61082.44</v>
      </c>
      <c r="E103" s="4"/>
      <c r="F103" s="4"/>
      <c r="G103" s="5"/>
      <c r="H103" s="5">
        <f>SUM(H100:H102)</f>
        <v>379865</v>
      </c>
    </row>
    <row r="104" spans="1:10" ht="15.5">
      <c r="A104" s="8">
        <v>45257</v>
      </c>
      <c r="B104" s="9"/>
      <c r="C104" s="3" t="s">
        <v>55</v>
      </c>
      <c r="D104" s="10">
        <f t="shared" si="1"/>
        <v>-61082.44</v>
      </c>
      <c r="E104" s="4"/>
      <c r="F104" s="4"/>
      <c r="G104" s="5"/>
      <c r="H104" s="5"/>
    </row>
    <row r="105" spans="1:10" ht="15.5">
      <c r="A105" s="8">
        <v>45257</v>
      </c>
      <c r="B105" s="9">
        <v>-12000</v>
      </c>
      <c r="C105" s="3" t="s">
        <v>56</v>
      </c>
      <c r="D105" s="10">
        <f t="shared" si="1"/>
        <v>-73082.44</v>
      </c>
      <c r="E105" s="4"/>
      <c r="F105" s="4"/>
      <c r="G105" s="5"/>
      <c r="H105" s="5"/>
    </row>
    <row r="106" spans="1:10" ht="15.5">
      <c r="A106" s="8">
        <v>45260</v>
      </c>
      <c r="B106" s="9">
        <v>-2000</v>
      </c>
      <c r="C106" s="21" t="s">
        <v>31</v>
      </c>
      <c r="D106" s="10">
        <f t="shared" si="1"/>
        <v>-75082.44</v>
      </c>
      <c r="E106" s="4"/>
      <c r="F106" s="4"/>
      <c r="G106" s="5"/>
      <c r="H106" s="5"/>
    </row>
    <row r="107" spans="1:10" ht="15.5">
      <c r="A107" s="8">
        <v>45260</v>
      </c>
      <c r="B107" s="9">
        <v>-1000</v>
      </c>
      <c r="C107" s="3" t="s">
        <v>57</v>
      </c>
      <c r="D107" s="10">
        <f t="shared" si="1"/>
        <v>-76082.44</v>
      </c>
      <c r="E107" s="4"/>
      <c r="F107" s="4"/>
      <c r="G107" s="5"/>
      <c r="H107" s="5"/>
    </row>
    <row r="108" spans="1:10" ht="15.5">
      <c r="A108" s="8"/>
      <c r="B108" s="9"/>
      <c r="C108" s="3"/>
      <c r="D108" s="10">
        <f t="shared" si="1"/>
        <v>-76082.44</v>
      </c>
      <c r="E108" s="4"/>
      <c r="F108" s="4"/>
      <c r="G108" s="5"/>
      <c r="H108" s="5"/>
    </row>
    <row r="109" spans="1:10" ht="15.5">
      <c r="A109" s="8"/>
      <c r="B109" s="9"/>
      <c r="C109" s="3"/>
      <c r="D109" s="10">
        <f t="shared" si="1"/>
        <v>-76082.44</v>
      </c>
      <c r="E109" s="4"/>
      <c r="F109" s="4"/>
      <c r="G109" s="5"/>
      <c r="H109" s="5"/>
    </row>
    <row r="110" spans="1:10" ht="15.5">
      <c r="A110" s="8"/>
      <c r="B110" s="9"/>
      <c r="C110" s="3"/>
      <c r="D110" s="10">
        <f t="shared" si="1"/>
        <v>-76082.44</v>
      </c>
      <c r="E110" s="4"/>
      <c r="F110" s="4"/>
      <c r="G110" s="5"/>
      <c r="H110" s="5"/>
    </row>
    <row r="111" spans="1:10" ht="15.5">
      <c r="A111" s="8"/>
      <c r="B111" s="9">
        <f>SUM(B70:B110)</f>
        <v>-76082.44</v>
      </c>
      <c r="C111" s="3"/>
      <c r="D111" s="10">
        <f t="shared" si="1"/>
        <v>-152164.88</v>
      </c>
      <c r="E111" s="4"/>
      <c r="F111" s="4"/>
      <c r="G111" s="5"/>
      <c r="H111" s="5"/>
    </row>
    <row r="112" spans="1:10" ht="15.5">
      <c r="A112" s="8"/>
      <c r="B112" s="9"/>
      <c r="C112" s="3"/>
      <c r="D112" s="10">
        <f t="shared" si="1"/>
        <v>-152164.88</v>
      </c>
      <c r="E112" s="4"/>
      <c r="F112" s="4"/>
      <c r="G112" s="5"/>
      <c r="H112" s="5"/>
    </row>
    <row r="113" spans="1:8" ht="15.5">
      <c r="A113" s="8"/>
      <c r="B113" s="9"/>
      <c r="C113" s="3"/>
      <c r="D113" s="10">
        <f t="shared" si="1"/>
        <v>-152164.88</v>
      </c>
      <c r="E113" s="4"/>
      <c r="F113" s="4"/>
      <c r="G113" s="5"/>
      <c r="H113" s="5"/>
    </row>
    <row r="114" spans="1:8" ht="15.5">
      <c r="A114" s="8"/>
      <c r="B114" s="9"/>
      <c r="C114" s="3"/>
      <c r="D114" s="10">
        <f t="shared" si="1"/>
        <v>-152164.88</v>
      </c>
      <c r="E114" s="4"/>
      <c r="F114" s="4"/>
      <c r="G114" s="5"/>
      <c r="H114" s="5"/>
    </row>
    <row r="115" spans="1:8" ht="15.5">
      <c r="A115" s="8"/>
      <c r="B115" s="9">
        <f>SUM(B70:B114)</f>
        <v>-152164.88</v>
      </c>
      <c r="C115" s="3"/>
      <c r="D115" s="10">
        <f t="shared" si="1"/>
        <v>-304329.76</v>
      </c>
      <c r="E115" s="4"/>
      <c r="F115" s="4"/>
      <c r="G115" s="5"/>
      <c r="H115" s="5"/>
    </row>
    <row r="116" spans="1:8" ht="15.5">
      <c r="A116" s="8"/>
      <c r="B116" s="9"/>
      <c r="C116" s="3"/>
      <c r="D116" s="10">
        <f t="shared" si="1"/>
        <v>-304329.76</v>
      </c>
      <c r="E116" s="4"/>
      <c r="F116" s="4"/>
      <c r="G116" s="5"/>
      <c r="H116" s="5"/>
    </row>
    <row r="117" spans="1:8" ht="15.5">
      <c r="A117" s="8"/>
      <c r="B117" s="9"/>
      <c r="C117" s="3"/>
      <c r="D117" s="22">
        <f t="shared" si="1"/>
        <v>-304329.76</v>
      </c>
      <c r="E117" s="4"/>
      <c r="F117" s="4"/>
      <c r="G117" s="5"/>
      <c r="H117" s="5"/>
    </row>
    <row r="118" spans="1:8" ht="15.5">
      <c r="A118" s="8"/>
      <c r="B118" s="9"/>
      <c r="C118" s="3"/>
      <c r="D118" s="22">
        <f t="shared" si="1"/>
        <v>-304329.76</v>
      </c>
      <c r="E118" s="4"/>
      <c r="F118" s="4"/>
      <c r="G118" s="5"/>
      <c r="H118" s="5"/>
    </row>
    <row r="119" spans="1:8" ht="15.5">
      <c r="A119" s="8"/>
      <c r="B119" s="9"/>
      <c r="C119" s="3"/>
      <c r="D119" s="22"/>
      <c r="E119" s="4"/>
      <c r="F119" s="4"/>
      <c r="G119" s="5"/>
      <c r="H119" s="5"/>
    </row>
    <row r="120" spans="1:8" ht="15.5">
      <c r="A120" s="8"/>
      <c r="B120" s="9"/>
      <c r="C120" s="3"/>
      <c r="D120" s="22"/>
      <c r="E120" s="4"/>
      <c r="F120" s="4"/>
      <c r="G120" s="5"/>
      <c r="H120" s="5"/>
    </row>
    <row r="121" spans="1:8" ht="15.5">
      <c r="A121" s="8"/>
      <c r="B121" s="9"/>
      <c r="C121" s="3"/>
      <c r="D121" s="22"/>
      <c r="E121" s="4"/>
      <c r="F121" s="4"/>
      <c r="G121" s="5"/>
      <c r="H121" s="5"/>
    </row>
    <row r="122" spans="1:8" ht="15.5">
      <c r="A122" s="8"/>
      <c r="B122" s="9"/>
      <c r="C122" s="3"/>
      <c r="D122" s="22"/>
      <c r="E122" s="4"/>
      <c r="F122" s="4"/>
      <c r="G122" s="5"/>
      <c r="H122" s="5"/>
    </row>
    <row r="123" spans="1:8" ht="15.5">
      <c r="A123" s="8"/>
      <c r="B123" s="9"/>
      <c r="C123" s="3"/>
      <c r="D123" s="22"/>
      <c r="E123" s="4"/>
      <c r="F123" s="4"/>
      <c r="G123" s="5"/>
      <c r="H123" s="5"/>
    </row>
    <row r="124" spans="1:8" ht="15.5">
      <c r="A124" s="8"/>
      <c r="B124" s="9"/>
      <c r="C124" s="3"/>
      <c r="D124" s="22"/>
      <c r="E124" s="4"/>
      <c r="F124" s="4"/>
      <c r="G124" s="5"/>
      <c r="H124" s="5"/>
    </row>
    <row r="125" spans="1:8" ht="15.5">
      <c r="A125" s="8"/>
      <c r="B125" s="9"/>
      <c r="C125" s="3"/>
      <c r="D125" s="22"/>
      <c r="E125" s="4"/>
      <c r="F125" s="4"/>
      <c r="G125" s="5"/>
      <c r="H125" s="5"/>
    </row>
    <row r="126" spans="1:8" ht="15.5">
      <c r="A126" s="8"/>
      <c r="B126" s="9"/>
      <c r="C126" s="3"/>
      <c r="D126" s="22"/>
      <c r="E126" s="4"/>
      <c r="F126" s="4"/>
      <c r="G126" s="5"/>
      <c r="H126" s="5"/>
    </row>
    <row r="127" spans="1:8" ht="15.5">
      <c r="A127" s="8"/>
      <c r="B127" s="9"/>
      <c r="C127" s="3"/>
      <c r="D127" s="22"/>
      <c r="E127" s="4"/>
      <c r="F127" s="4"/>
      <c r="G127" s="5"/>
      <c r="H127" s="5"/>
    </row>
    <row r="128" spans="1:8" ht="15.5">
      <c r="A128" s="8"/>
      <c r="B128" s="9"/>
      <c r="C128" s="3"/>
      <c r="D128" s="22"/>
      <c r="E128" s="4"/>
      <c r="F128" s="4"/>
      <c r="G128" s="5"/>
      <c r="H128" s="5"/>
    </row>
    <row r="129" spans="1:8" ht="15.5">
      <c r="A129" s="8"/>
      <c r="B129" s="9"/>
      <c r="C129" s="3"/>
      <c r="D129" s="22"/>
      <c r="E129" s="4"/>
      <c r="F129" s="4"/>
      <c r="G129" s="5"/>
      <c r="H129" s="5"/>
    </row>
    <row r="130" spans="1:8" ht="15.5">
      <c r="A130" s="8"/>
      <c r="B130" s="9"/>
      <c r="C130" s="3"/>
      <c r="D130" s="22"/>
      <c r="E130" s="4"/>
      <c r="F130" s="4"/>
      <c r="G130" s="5"/>
      <c r="H130" s="5"/>
    </row>
    <row r="131" spans="1:8" ht="15.5">
      <c r="A131" s="8"/>
      <c r="B131" s="9"/>
      <c r="C131" s="3"/>
      <c r="D131" s="22"/>
      <c r="E131" s="4"/>
      <c r="F131" s="4"/>
      <c r="G131" s="5"/>
      <c r="H131" s="5"/>
    </row>
    <row r="132" spans="1:8" ht="15.5">
      <c r="A132" s="8"/>
      <c r="B132" s="9"/>
      <c r="C132" s="3"/>
      <c r="D132" s="22"/>
      <c r="E132" s="4"/>
      <c r="F132" s="4"/>
      <c r="G132" s="5"/>
      <c r="H132" s="5"/>
    </row>
    <row r="133" spans="1:8" ht="15.5">
      <c r="A133" s="13"/>
      <c r="B133" s="12"/>
      <c r="C133" s="14"/>
      <c r="D133" s="22"/>
      <c r="E133" s="4"/>
      <c r="F133" s="4"/>
      <c r="G133" s="5"/>
      <c r="H133" s="5"/>
    </row>
    <row r="134" spans="1:8" ht="15.5">
      <c r="A134" s="13"/>
      <c r="B134" s="12"/>
      <c r="C134" s="14"/>
      <c r="D134" s="22"/>
      <c r="E134" s="4"/>
      <c r="F134" s="4"/>
      <c r="G134" s="5"/>
      <c r="H134" s="5"/>
    </row>
    <row r="135" spans="1:8" ht="15.5">
      <c r="A135" s="8"/>
      <c r="B135" s="9"/>
      <c r="C135" s="3"/>
      <c r="D135" s="22"/>
      <c r="E135" s="4"/>
      <c r="F135" s="4"/>
      <c r="G135" s="5"/>
      <c r="H135" s="5"/>
    </row>
    <row r="136" spans="1:8" ht="15.5">
      <c r="A136" s="13"/>
      <c r="C136" s="16"/>
      <c r="D136" s="22"/>
      <c r="E136" s="4"/>
      <c r="F136" s="4"/>
      <c r="G136" s="5"/>
      <c r="H136" s="5"/>
    </row>
    <row r="137" spans="1:8" ht="15.5">
      <c r="A137" s="13"/>
      <c r="B137" s="12"/>
      <c r="C137" s="14"/>
      <c r="D137" s="22"/>
      <c r="E137" s="4"/>
      <c r="F137" s="4"/>
      <c r="G137" s="5"/>
      <c r="H137" s="5"/>
    </row>
    <row r="138" spans="1:8" ht="15.5">
      <c r="A138" s="13"/>
      <c r="B138" s="12"/>
      <c r="C138" s="14"/>
      <c r="D138" s="22"/>
      <c r="E138" s="4"/>
      <c r="F138" s="4"/>
      <c r="G138" s="5"/>
      <c r="H138" s="5"/>
    </row>
    <row r="139" spans="1:8" ht="15.5">
      <c r="A139" s="13"/>
      <c r="B139" s="12"/>
      <c r="C139" s="14"/>
      <c r="D139" s="22"/>
      <c r="E139" s="4"/>
      <c r="F139" s="4"/>
      <c r="G139" s="5"/>
      <c r="H139" s="5"/>
    </row>
    <row r="140" spans="1:8" ht="15.5">
      <c r="A140" s="8"/>
      <c r="B140" s="12"/>
      <c r="C140" s="14"/>
      <c r="D140" s="22"/>
      <c r="E140" s="4"/>
      <c r="F140" s="4"/>
      <c r="G140" s="5"/>
      <c r="H140" s="5"/>
    </row>
    <row r="141" spans="1:8" ht="15.5">
      <c r="A141" s="8"/>
      <c r="B141" s="9"/>
      <c r="C141" s="3"/>
      <c r="D141" s="22"/>
      <c r="E141" s="4"/>
      <c r="F141" s="4"/>
      <c r="G141" s="5"/>
      <c r="H141" s="5"/>
    </row>
    <row r="142" spans="1:8" ht="15.5">
      <c r="A142" s="8"/>
      <c r="B142" s="9"/>
      <c r="C142" s="3"/>
      <c r="D142" s="22"/>
      <c r="E142" s="4"/>
      <c r="F142" s="4"/>
      <c r="G142" s="5"/>
      <c r="H142" s="5"/>
    </row>
    <row r="143" spans="1:8" ht="15.5">
      <c r="A143" s="8"/>
      <c r="B143" s="9"/>
      <c r="C143" s="3"/>
      <c r="D143" s="22"/>
      <c r="E143" s="4"/>
      <c r="F143" s="4"/>
      <c r="G143" s="5"/>
      <c r="H143" s="5"/>
    </row>
    <row r="144" spans="1:8" ht="15.5">
      <c r="A144" s="8"/>
      <c r="B144" s="9"/>
      <c r="C144" s="3"/>
      <c r="D144" s="22"/>
      <c r="E144" s="4"/>
      <c r="F144" s="4"/>
      <c r="G144" s="5"/>
      <c r="H144" s="5"/>
    </row>
    <row r="145" spans="1:8" ht="15.5">
      <c r="A145" s="8"/>
      <c r="B145" s="9"/>
      <c r="C145" s="3"/>
      <c r="D145" s="22"/>
      <c r="E145" s="4"/>
      <c r="F145" s="4"/>
      <c r="G145" s="5"/>
      <c r="H145" s="5"/>
    </row>
    <row r="146" spans="1:8" ht="15.5">
      <c r="A146" s="8"/>
      <c r="B146" s="9"/>
      <c r="C146" s="3"/>
      <c r="D146" s="22"/>
      <c r="E146" s="4"/>
      <c r="F146" s="4"/>
      <c r="G146" s="5"/>
      <c r="H146" s="5"/>
    </row>
    <row r="147" spans="1:8" ht="15.5">
      <c r="A147" s="8"/>
      <c r="C147" s="18"/>
      <c r="D147" s="22"/>
      <c r="E147" s="4"/>
      <c r="F147" s="4"/>
      <c r="G147" s="5"/>
      <c r="H147" s="5"/>
    </row>
    <row r="148" spans="1:8" ht="15.5">
      <c r="A148" s="8"/>
      <c r="B148" s="9"/>
      <c r="C148" s="3"/>
      <c r="D148" s="22"/>
      <c r="E148" s="4"/>
      <c r="F148" s="4"/>
      <c r="G148" s="5"/>
      <c r="H148" s="5"/>
    </row>
    <row r="149" spans="1:8" ht="15.5">
      <c r="A149" s="8"/>
      <c r="B149" s="9"/>
      <c r="C149" s="3"/>
      <c r="D149" s="22"/>
      <c r="E149" s="4"/>
      <c r="F149" s="4"/>
      <c r="G149" s="5"/>
      <c r="H149" s="5"/>
    </row>
    <row r="150" spans="1:8" ht="15.5">
      <c r="A150" s="8"/>
      <c r="B150" s="9"/>
      <c r="C150" s="3"/>
      <c r="D150" s="22"/>
      <c r="E150" s="4"/>
      <c r="F150" s="4"/>
      <c r="G150" s="5"/>
      <c r="H150" s="5"/>
    </row>
    <row r="151" spans="1:8" ht="15.5">
      <c r="A151" s="8"/>
      <c r="B151" s="9"/>
      <c r="C151" s="3"/>
      <c r="D151" s="22"/>
      <c r="E151" s="4"/>
      <c r="F151" s="4"/>
      <c r="G151" s="5"/>
      <c r="H151" s="5"/>
    </row>
    <row r="152" spans="1:8" ht="15.5">
      <c r="A152" s="8"/>
      <c r="B152" s="9"/>
      <c r="C152" s="3"/>
      <c r="D152" s="22"/>
      <c r="E152" s="4"/>
      <c r="F152" s="4"/>
      <c r="G152" s="5"/>
      <c r="H152" s="5"/>
    </row>
    <row r="153" spans="1:8" ht="15.5">
      <c r="A153" s="8"/>
      <c r="B153" s="9"/>
      <c r="C153" s="3"/>
      <c r="D153" s="22"/>
      <c r="E153" s="4"/>
      <c r="F153" s="4"/>
      <c r="G153" s="5"/>
      <c r="H153" s="5"/>
    </row>
    <row r="154" spans="1:8" ht="15.5">
      <c r="A154" s="8"/>
      <c r="B154" s="9"/>
      <c r="C154" s="3"/>
      <c r="D154" s="22"/>
      <c r="E154" s="4"/>
      <c r="F154" s="4"/>
      <c r="G154" s="5"/>
      <c r="H154" s="5"/>
    </row>
    <row r="155" spans="1:8" ht="15.5">
      <c r="A155" s="8"/>
      <c r="B155" s="9"/>
      <c r="C155" s="3"/>
      <c r="D155" s="22"/>
      <c r="E155" s="4"/>
      <c r="F155" s="4"/>
      <c r="G155" s="5"/>
      <c r="H155" s="5"/>
    </row>
    <row r="156" spans="1:8" ht="15.5">
      <c r="A156" s="8"/>
      <c r="B156" s="9"/>
      <c r="C156" s="3"/>
      <c r="D156" s="22"/>
      <c r="E156" s="4"/>
      <c r="F156" s="4"/>
      <c r="G156" s="5"/>
      <c r="H156" s="5"/>
    </row>
    <row r="157" spans="1:8" ht="15.5">
      <c r="A157" s="8"/>
      <c r="B157" s="9"/>
      <c r="C157" s="3"/>
      <c r="D157" s="22"/>
      <c r="E157" s="4"/>
      <c r="F157" s="4"/>
      <c r="G157" s="5"/>
      <c r="H157" s="5"/>
    </row>
    <row r="158" spans="1:8" ht="15.5">
      <c r="A158" s="8"/>
      <c r="B158" s="9"/>
      <c r="C158" s="3"/>
      <c r="D158" s="22"/>
      <c r="E158" s="4"/>
      <c r="F158" s="4"/>
      <c r="G158" s="5"/>
      <c r="H158" s="5"/>
    </row>
    <row r="159" spans="1:8" ht="15.5">
      <c r="A159" s="8"/>
      <c r="B159" s="9"/>
      <c r="C159" s="3"/>
      <c r="D159" s="22"/>
      <c r="E159" s="4"/>
      <c r="F159" s="4"/>
      <c r="G159" s="5"/>
      <c r="H159" s="5"/>
    </row>
    <row r="160" spans="1:8" ht="15.5">
      <c r="A160" s="8"/>
      <c r="B160" s="9"/>
      <c r="C160" s="3"/>
      <c r="D160" s="22"/>
      <c r="E160" s="4"/>
      <c r="F160" s="4"/>
      <c r="G160" s="5"/>
      <c r="H160" s="5"/>
    </row>
    <row r="161" spans="1:8" ht="15.5">
      <c r="A161" s="8"/>
      <c r="B161" s="9"/>
      <c r="C161" s="3"/>
      <c r="D161" s="22"/>
      <c r="E161" s="17"/>
      <c r="F161" s="4"/>
      <c r="G161" s="5"/>
      <c r="H161" s="5"/>
    </row>
    <row r="162" spans="1:8" ht="15.5">
      <c r="A162" s="13"/>
      <c r="B162" s="12"/>
      <c r="C162" s="3"/>
      <c r="D162" s="22"/>
    </row>
    <row r="163" spans="1:8" ht="15.5">
      <c r="A163" s="8"/>
      <c r="B163" s="9"/>
      <c r="C163" s="3"/>
      <c r="D163" s="22"/>
      <c r="G163" s="2">
        <v>250</v>
      </c>
      <c r="H163" s="11">
        <f>+F163*G163</f>
        <v>0</v>
      </c>
    </row>
    <row r="164" spans="1:8" ht="15.5">
      <c r="A164" s="8"/>
      <c r="B164" s="9"/>
      <c r="C164" s="3"/>
      <c r="D164" s="22"/>
      <c r="G164" s="2">
        <v>250</v>
      </c>
      <c r="H164" s="11">
        <f>+F164*G164</f>
        <v>0</v>
      </c>
    </row>
    <row r="165" spans="1:8" ht="15.5">
      <c r="A165" s="8"/>
      <c r="B165" s="9"/>
      <c r="C165" s="3"/>
      <c r="D165" s="22"/>
    </row>
    <row r="166" spans="1:8" ht="15.5">
      <c r="A166" s="8"/>
      <c r="B166" s="9"/>
      <c r="C166" s="3"/>
      <c r="D166" s="22"/>
    </row>
    <row r="167" spans="1:8" ht="15.5">
      <c r="A167" s="8"/>
      <c r="B167" s="9"/>
      <c r="C167" s="3"/>
      <c r="D167" s="22"/>
    </row>
    <row r="168" spans="1:8" ht="15.5">
      <c r="A168" s="23"/>
      <c r="B168" s="5"/>
      <c r="C168" s="18"/>
      <c r="D168" s="22"/>
    </row>
    <row r="169" spans="1:8" ht="15.5">
      <c r="A169" s="8"/>
      <c r="B169" s="9"/>
      <c r="C169" s="3"/>
      <c r="D169" s="22"/>
      <c r="H169">
        <v>15000</v>
      </c>
    </row>
    <row r="170" spans="1:8" ht="15.5">
      <c r="A170" s="8"/>
      <c r="B170" s="9"/>
      <c r="C170" s="3"/>
      <c r="D170" s="22"/>
    </row>
    <row r="171" spans="1:8" ht="15.5">
      <c r="A171" s="23"/>
      <c r="B171" s="5"/>
      <c r="C171" s="18"/>
      <c r="D171" s="22"/>
    </row>
    <row r="172" spans="1:8" ht="15.5">
      <c r="A172" s="13"/>
      <c r="B172" s="12"/>
      <c r="C172" s="3"/>
      <c r="D172" s="22"/>
    </row>
    <row r="173" spans="1:8" ht="15.5">
      <c r="A173" s="8"/>
      <c r="B173" s="9"/>
      <c r="C173" s="3"/>
      <c r="D173" s="22"/>
    </row>
    <row r="174" spans="1:8" ht="15.5">
      <c r="A174" s="8"/>
      <c r="B174" s="9"/>
      <c r="C174" s="3"/>
      <c r="D174" s="22"/>
    </row>
    <row r="175" spans="1:8" ht="15.5">
      <c r="A175" s="8"/>
      <c r="B175" s="9"/>
      <c r="C175" s="3"/>
      <c r="D175" s="22"/>
    </row>
    <row r="176" spans="1:8" ht="15.5">
      <c r="A176" s="8"/>
      <c r="B176" s="9"/>
      <c r="C176" s="3"/>
      <c r="D176" s="22"/>
    </row>
    <row r="177" spans="1:8" ht="15.5">
      <c r="A177" s="8"/>
      <c r="B177" s="9"/>
      <c r="C177" s="3"/>
      <c r="D177" s="22"/>
    </row>
    <row r="178" spans="1:8" ht="15.5">
      <c r="A178" s="8"/>
      <c r="B178" s="9"/>
      <c r="C178" s="3"/>
      <c r="D178" s="22"/>
      <c r="F178">
        <v>325000</v>
      </c>
      <c r="G178" s="24">
        <v>3.4200000000000001E-2</v>
      </c>
      <c r="H178" s="11">
        <f>+F178*G178</f>
        <v>11115</v>
      </c>
    </row>
    <row r="179" spans="1:8" ht="15.5">
      <c r="A179" s="8"/>
      <c r="B179" s="9"/>
      <c r="C179" s="3"/>
      <c r="D179" s="22"/>
      <c r="F179">
        <v>1325000</v>
      </c>
      <c r="G179" s="25">
        <v>3.4200000000000001E-2</v>
      </c>
      <c r="H179" s="11">
        <f>+F179*G179</f>
        <v>45315</v>
      </c>
    </row>
    <row r="180" spans="1:8" ht="15.5">
      <c r="A180" s="8"/>
      <c r="B180" s="9"/>
      <c r="C180" s="3"/>
      <c r="D180" s="22"/>
    </row>
    <row r="181" spans="1:8" ht="15.5">
      <c r="A181" s="8"/>
      <c r="B181" s="9"/>
      <c r="C181" s="3"/>
      <c r="D181" s="22"/>
    </row>
    <row r="182" spans="1:8" ht="15.5">
      <c r="A182" s="8"/>
      <c r="B182" s="9"/>
      <c r="C182" s="3"/>
      <c r="D182" s="10"/>
      <c r="F182">
        <f>250*5300</f>
        <v>1325000</v>
      </c>
      <c r="H182">
        <f>SUM(H169:H181)</f>
        <v>71430</v>
      </c>
    </row>
    <row r="183" spans="1:8" ht="15.5">
      <c r="A183" s="8"/>
      <c r="B183" s="9"/>
      <c r="C183" s="3"/>
    </row>
    <row r="184" spans="1:8" ht="15.5">
      <c r="A184" s="8"/>
      <c r="B184" s="9"/>
      <c r="C184" s="3"/>
    </row>
    <row r="185" spans="1:8" ht="15.5">
      <c r="A185" s="8"/>
      <c r="B185" s="9"/>
      <c r="C185" s="3"/>
    </row>
    <row r="186" spans="1:8" ht="15.5">
      <c r="A186" s="8"/>
      <c r="B186" s="9"/>
      <c r="C186" s="3"/>
    </row>
    <row r="187" spans="1:8" ht="15.5">
      <c r="A187" s="8"/>
      <c r="B187" s="9"/>
      <c r="C187" s="3"/>
    </row>
    <row r="188" spans="1:8" ht="15.5">
      <c r="A188" s="8"/>
      <c r="B188" s="9"/>
      <c r="C188" s="3"/>
    </row>
    <row r="189" spans="1:8" ht="15.5">
      <c r="A189" s="8"/>
      <c r="B189" s="9"/>
      <c r="C189" s="3"/>
    </row>
    <row r="190" spans="1:8" ht="15.5">
      <c r="A190" s="8"/>
      <c r="B190" s="9"/>
      <c r="C190" s="3"/>
    </row>
    <row r="191" spans="1:8" ht="15.5">
      <c r="A191" s="8"/>
      <c r="B191" s="9"/>
      <c r="C191" s="3"/>
    </row>
    <row r="192" spans="1:8" ht="15.5">
      <c r="A192" s="8"/>
      <c r="B192" s="9"/>
      <c r="C192" s="3"/>
    </row>
    <row r="193" spans="1:3" ht="15.5">
      <c r="A193" s="8"/>
      <c r="B193" s="9"/>
      <c r="C193" s="3"/>
    </row>
    <row r="194" spans="1:3" ht="15.5">
      <c r="A194" s="8"/>
      <c r="B194" s="9"/>
      <c r="C194" s="3"/>
    </row>
    <row r="195" spans="1:3" ht="15.5">
      <c r="A195" s="8"/>
      <c r="B195" s="12"/>
      <c r="C195" s="14"/>
    </row>
    <row r="196" spans="1:3">
      <c r="A196" s="13"/>
      <c r="C196" s="16"/>
    </row>
    <row r="197" spans="1:3">
      <c r="A197" s="13"/>
      <c r="B197" s="12"/>
      <c r="C197" s="14"/>
    </row>
    <row r="198" spans="1:3">
      <c r="A198" s="13"/>
      <c r="B198" s="12"/>
      <c r="C198" s="14"/>
    </row>
    <row r="199" spans="1:3">
      <c r="A199" s="13"/>
      <c r="B199" s="12"/>
      <c r="C199" s="14"/>
    </row>
    <row r="200" spans="1:3">
      <c r="A200" s="13"/>
      <c r="B200" s="12"/>
      <c r="C200" s="14"/>
    </row>
    <row r="201" spans="1:3">
      <c r="A201" s="13"/>
      <c r="B201" s="12"/>
      <c r="C201" s="14"/>
    </row>
    <row r="202" spans="1:3" ht="15.5">
      <c r="A202" s="8"/>
      <c r="B202" s="9"/>
      <c r="C202" s="3"/>
    </row>
    <row r="203" spans="1:3" ht="15.5">
      <c r="A203" s="8"/>
      <c r="B203" s="9"/>
      <c r="C203" s="3"/>
    </row>
    <row r="204" spans="1:3" ht="15.5">
      <c r="A204" s="8"/>
      <c r="B204" s="9"/>
      <c r="C204" s="3"/>
    </row>
    <row r="205" spans="1:3" ht="15.5">
      <c r="A205" s="8"/>
      <c r="B205" s="9"/>
      <c r="C205" s="3"/>
    </row>
  </sheetData>
  <mergeCells count="2">
    <mergeCell ref="A1:C1"/>
    <mergeCell ref="G2:H2"/>
  </mergeCells>
  <pageMargins left="0.7" right="0.7" top="0.75" bottom="0.75" header="0.511811023622047" footer="0.511811023622047"/>
  <pageSetup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5"/>
  <sheetViews>
    <sheetView topLeftCell="A13" zoomScaleNormal="100" workbookViewId="0">
      <selection activeCell="C24" sqref="C24"/>
    </sheetView>
  </sheetViews>
  <sheetFormatPr baseColWidth="10" defaultColWidth="8.7265625" defaultRowHeight="14.5"/>
  <cols>
    <col min="1" max="1" width="7.54296875" customWidth="1"/>
    <col min="2" max="2" width="17.81640625" style="2" customWidth="1"/>
    <col min="3" max="3" width="25.1796875" customWidth="1"/>
    <col min="4" max="4" width="11.81640625" customWidth="1"/>
    <col min="5" max="5" width="11.453125" customWidth="1"/>
    <col min="6" max="6" width="30.453125" customWidth="1"/>
    <col min="7" max="7" width="25.81640625" style="2" customWidth="1"/>
    <col min="8" max="8" width="15.1796875" customWidth="1"/>
    <col min="9" max="9" width="11.1796875" style="2" customWidth="1"/>
    <col min="10" max="10" width="14.81640625" customWidth="1"/>
  </cols>
  <sheetData>
    <row r="1" spans="1:8" ht="15.5">
      <c r="A1" s="209" t="s">
        <v>0</v>
      </c>
      <c r="B1" s="209"/>
      <c r="C1" s="209"/>
      <c r="D1" s="3"/>
      <c r="E1" s="4"/>
      <c r="F1" s="4"/>
      <c r="G1" s="5"/>
      <c r="H1" s="5"/>
    </row>
    <row r="2" spans="1:8" ht="15.5">
      <c r="A2" s="6" t="s">
        <v>1</v>
      </c>
      <c r="B2" s="7" t="s">
        <v>2</v>
      </c>
      <c r="C2" s="6" t="s">
        <v>3</v>
      </c>
      <c r="D2" s="3"/>
      <c r="E2" s="4"/>
      <c r="F2" s="4"/>
      <c r="G2" s="210" t="s">
        <v>4</v>
      </c>
      <c r="H2" s="210"/>
    </row>
    <row r="3" spans="1:8" ht="15.5">
      <c r="A3" s="8">
        <v>45419</v>
      </c>
      <c r="B3" s="9">
        <v>-1810</v>
      </c>
      <c r="C3" s="3" t="s">
        <v>113</v>
      </c>
      <c r="D3" s="10">
        <f>+B3</f>
        <v>-1810</v>
      </c>
      <c r="E3" s="4"/>
      <c r="F3" s="4"/>
      <c r="G3" s="9" t="s">
        <v>6</v>
      </c>
      <c r="H3" s="9">
        <v>20000</v>
      </c>
    </row>
    <row r="4" spans="1:8" ht="15.5">
      <c r="A4" s="8">
        <v>45419</v>
      </c>
      <c r="B4" s="2">
        <v>-4800</v>
      </c>
      <c r="C4" t="s">
        <v>114</v>
      </c>
      <c r="D4" s="11">
        <f>+D3+B4</f>
        <v>-6610</v>
      </c>
      <c r="E4" s="4"/>
      <c r="F4" s="4"/>
      <c r="G4" s="9" t="s">
        <v>7</v>
      </c>
      <c r="H4" s="9">
        <v>30000</v>
      </c>
    </row>
    <row r="5" spans="1:8" ht="15.5">
      <c r="A5" s="8">
        <v>45413</v>
      </c>
      <c r="B5" s="9">
        <v>-4000</v>
      </c>
      <c r="C5" s="3" t="s">
        <v>115</v>
      </c>
      <c r="D5" s="11">
        <f>+D4+B5</f>
        <v>-10610</v>
      </c>
      <c r="E5" s="4"/>
      <c r="F5" s="4"/>
      <c r="G5" s="9" t="s">
        <v>9</v>
      </c>
      <c r="H5" s="9">
        <v>40000</v>
      </c>
    </row>
    <row r="6" spans="1:8" ht="15.5">
      <c r="A6" s="8">
        <v>45413</v>
      </c>
      <c r="B6" s="9">
        <v>-1000</v>
      </c>
      <c r="C6" s="3" t="s">
        <v>116</v>
      </c>
      <c r="D6" s="11">
        <f>+D5+B6</f>
        <v>-11610</v>
      </c>
      <c r="E6" s="4"/>
      <c r="F6" s="4"/>
      <c r="G6" s="9" t="s">
        <v>11</v>
      </c>
      <c r="H6" s="9">
        <v>5000</v>
      </c>
    </row>
    <row r="7" spans="1:8" ht="15.5">
      <c r="A7" s="8">
        <v>45419</v>
      </c>
      <c r="B7" s="9">
        <f>-400*59</f>
        <v>-23600</v>
      </c>
      <c r="C7" s="3" t="s">
        <v>117</v>
      </c>
      <c r="D7" s="11"/>
      <c r="E7" s="4"/>
      <c r="F7" s="4"/>
      <c r="G7" s="9"/>
      <c r="H7" s="9"/>
    </row>
    <row r="8" spans="1:8" ht="15.5">
      <c r="A8" s="8">
        <v>45425</v>
      </c>
      <c r="B8" s="9">
        <f>-55*60</f>
        <v>-3300</v>
      </c>
      <c r="C8" s="3" t="s">
        <v>118</v>
      </c>
      <c r="D8" s="11"/>
      <c r="E8" s="4"/>
      <c r="F8" s="4"/>
      <c r="G8" s="9" t="s">
        <v>13</v>
      </c>
      <c r="H8" s="9">
        <v>3000</v>
      </c>
    </row>
    <row r="9" spans="1:8" ht="15.5">
      <c r="A9" s="8">
        <v>45423</v>
      </c>
      <c r="B9" s="12">
        <v>-3000</v>
      </c>
      <c r="C9" s="3" t="s">
        <v>119</v>
      </c>
      <c r="D9" s="11"/>
      <c r="E9" s="4">
        <v>105000</v>
      </c>
      <c r="F9" s="4" t="s">
        <v>104</v>
      </c>
      <c r="G9" s="9" t="s">
        <v>15</v>
      </c>
      <c r="H9" s="9">
        <v>5000</v>
      </c>
    </row>
    <row r="10" spans="1:8" ht="15.5">
      <c r="A10" s="8">
        <v>45423</v>
      </c>
      <c r="B10" s="9">
        <v>-500</v>
      </c>
      <c r="C10" s="3" t="s">
        <v>120</v>
      </c>
      <c r="D10" s="11"/>
      <c r="E10" s="4">
        <v>12000</v>
      </c>
      <c r="F10" s="4" t="s">
        <v>106</v>
      </c>
      <c r="G10" s="9" t="s">
        <v>18</v>
      </c>
      <c r="H10" s="9">
        <v>1500</v>
      </c>
    </row>
    <row r="11" spans="1:8" ht="15.5">
      <c r="A11" s="8">
        <v>45422</v>
      </c>
      <c r="B11" s="9">
        <v>-3300</v>
      </c>
      <c r="C11" s="3" t="s">
        <v>6</v>
      </c>
      <c r="D11" s="11"/>
      <c r="E11" s="4">
        <v>8000</v>
      </c>
      <c r="F11" s="4" t="s">
        <v>106</v>
      </c>
      <c r="G11" s="9" t="s">
        <v>19</v>
      </c>
      <c r="H11" s="9">
        <v>10000</v>
      </c>
    </row>
    <row r="12" spans="1:8" ht="15.5">
      <c r="A12" s="8">
        <v>45422</v>
      </c>
      <c r="B12" s="5">
        <v>-5800</v>
      </c>
      <c r="C12" s="18" t="s">
        <v>37</v>
      </c>
      <c r="D12" s="11"/>
      <c r="E12" s="4">
        <v>15000</v>
      </c>
      <c r="F12" s="4" t="s">
        <v>34</v>
      </c>
      <c r="G12" s="9" t="s">
        <v>21</v>
      </c>
      <c r="H12" s="9">
        <v>1500</v>
      </c>
    </row>
    <row r="13" spans="1:8" ht="15.5">
      <c r="A13" s="8">
        <v>45429</v>
      </c>
      <c r="B13" s="9">
        <v>-4000</v>
      </c>
      <c r="C13" s="3" t="s">
        <v>119</v>
      </c>
      <c r="D13" s="11"/>
      <c r="E13" s="4"/>
      <c r="F13" s="4"/>
      <c r="G13" s="9" t="s">
        <v>23</v>
      </c>
      <c r="H13" s="9">
        <v>25000</v>
      </c>
    </row>
    <row r="14" spans="1:8" ht="15.5">
      <c r="A14" s="8">
        <v>45430</v>
      </c>
      <c r="B14" s="9">
        <v>-2000</v>
      </c>
      <c r="C14" s="3" t="s">
        <v>121</v>
      </c>
      <c r="D14" s="11"/>
      <c r="E14" s="4"/>
      <c r="F14" s="4"/>
      <c r="G14" s="9" t="s">
        <v>25</v>
      </c>
      <c r="H14" s="9">
        <v>1500</v>
      </c>
    </row>
    <row r="15" spans="1:8" ht="15.5">
      <c r="A15" s="8">
        <v>45430</v>
      </c>
      <c r="B15" s="9">
        <v>-18000</v>
      </c>
      <c r="C15" s="3" t="s">
        <v>122</v>
      </c>
      <c r="D15" s="11"/>
      <c r="E15" s="4"/>
      <c r="F15" s="4"/>
      <c r="G15" s="9"/>
      <c r="H15" s="9"/>
    </row>
    <row r="16" spans="1:8" ht="15.5">
      <c r="A16" s="8">
        <v>45433</v>
      </c>
      <c r="B16" s="12">
        <v>-6200</v>
      </c>
      <c r="C16" s="14" t="s">
        <v>123</v>
      </c>
      <c r="D16" s="11"/>
      <c r="E16" s="4">
        <f>SUM(E9:E15)</f>
        <v>140000</v>
      </c>
      <c r="F16" s="4"/>
      <c r="G16" s="9"/>
      <c r="H16" s="9"/>
    </row>
    <row r="17" spans="1:8" ht="15.5">
      <c r="A17" s="8">
        <v>45436</v>
      </c>
      <c r="B17" s="12">
        <v>-12500</v>
      </c>
      <c r="C17" s="14" t="s">
        <v>124</v>
      </c>
      <c r="D17" s="11"/>
      <c r="E17" s="4"/>
      <c r="F17" s="4"/>
      <c r="G17" s="15" t="s">
        <v>27</v>
      </c>
      <c r="H17" s="15">
        <f>SUM(H3:H15)</f>
        <v>142500</v>
      </c>
    </row>
    <row r="18" spans="1:8" ht="15.5">
      <c r="A18" s="8">
        <v>45436</v>
      </c>
      <c r="B18" s="9">
        <v>-2000</v>
      </c>
      <c r="C18" s="3" t="s">
        <v>125</v>
      </c>
      <c r="D18" s="11"/>
      <c r="E18" s="4"/>
      <c r="F18" s="4"/>
      <c r="G18" s="5" t="s">
        <v>29</v>
      </c>
      <c r="H18" s="5">
        <f>+H17/54</f>
        <v>2638.8888888888887</v>
      </c>
    </row>
    <row r="19" spans="1:8" ht="15.5">
      <c r="A19" s="8">
        <v>45436</v>
      </c>
      <c r="B19" s="9">
        <v>-5500</v>
      </c>
      <c r="C19" s="3" t="s">
        <v>126</v>
      </c>
      <c r="D19" s="11"/>
      <c r="E19" s="4"/>
      <c r="F19" s="4"/>
      <c r="G19" s="5"/>
      <c r="H19" s="5"/>
    </row>
    <row r="20" spans="1:8" ht="15.5">
      <c r="A20" s="8">
        <v>45436</v>
      </c>
      <c r="B20" s="12">
        <v>-6000</v>
      </c>
      <c r="C20" s="3" t="s">
        <v>127</v>
      </c>
      <c r="D20" s="11"/>
      <c r="E20" s="4"/>
      <c r="F20" s="4"/>
      <c r="G20" s="5"/>
      <c r="H20" s="5"/>
    </row>
    <row r="21" spans="1:8" ht="15.5">
      <c r="A21" s="8">
        <v>45441</v>
      </c>
      <c r="B21" s="5">
        <v>-2500</v>
      </c>
      <c r="C21" s="18" t="s">
        <v>105</v>
      </c>
      <c r="D21" s="11"/>
      <c r="E21" s="4"/>
      <c r="F21" s="4"/>
      <c r="G21" s="5" t="s">
        <v>77</v>
      </c>
      <c r="H21" s="5"/>
    </row>
    <row r="22" spans="1:8" ht="15.5">
      <c r="A22" s="8">
        <v>45442</v>
      </c>
      <c r="B22" s="9">
        <v>-1200</v>
      </c>
      <c r="C22" s="3" t="s">
        <v>119</v>
      </c>
      <c r="D22" s="11"/>
      <c r="E22" s="4"/>
      <c r="F22" s="4"/>
      <c r="G22" s="5" t="s">
        <v>78</v>
      </c>
      <c r="H22" s="5">
        <f>1100*55</f>
        <v>60500</v>
      </c>
    </row>
    <row r="23" spans="1:8" ht="15.5">
      <c r="A23" s="8">
        <v>45441</v>
      </c>
      <c r="B23" s="12">
        <v>-600</v>
      </c>
      <c r="C23" s="14" t="s">
        <v>102</v>
      </c>
      <c r="D23" s="11"/>
      <c r="E23" s="4">
        <v>201000</v>
      </c>
      <c r="F23" s="4"/>
      <c r="G23" s="5" t="s">
        <v>79</v>
      </c>
      <c r="H23" s="5">
        <v>27000</v>
      </c>
    </row>
    <row r="24" spans="1:8" ht="15.5">
      <c r="A24" s="8">
        <v>45441</v>
      </c>
      <c r="B24" s="12">
        <v>-2100</v>
      </c>
      <c r="C24" s="14" t="s">
        <v>128</v>
      </c>
      <c r="D24" s="11"/>
      <c r="E24" s="4"/>
      <c r="F24" s="4"/>
      <c r="G24" s="5"/>
      <c r="H24" s="5"/>
    </row>
    <row r="25" spans="1:8" ht="15.5">
      <c r="A25" s="8"/>
      <c r="B25" s="12"/>
      <c r="C25" s="14"/>
      <c r="D25" s="11"/>
      <c r="E25" s="4"/>
      <c r="F25" s="4"/>
      <c r="G25" s="5" t="s">
        <v>27</v>
      </c>
      <c r="H25" s="17">
        <f>SUM(H22:H24)</f>
        <v>87500</v>
      </c>
    </row>
    <row r="26" spans="1:8" ht="15.5">
      <c r="A26" s="8"/>
      <c r="B26" s="9"/>
      <c r="C26" s="3"/>
      <c r="D26" s="11"/>
      <c r="E26" s="4"/>
      <c r="F26" s="4"/>
      <c r="G26" s="5"/>
      <c r="H26" s="4"/>
    </row>
    <row r="27" spans="1:8" ht="15.5">
      <c r="A27" s="8"/>
      <c r="B27" s="9"/>
      <c r="C27" s="3"/>
      <c r="D27" s="11"/>
      <c r="E27" s="4"/>
      <c r="F27" s="4"/>
      <c r="G27" s="5"/>
      <c r="H27" s="4"/>
    </row>
    <row r="28" spans="1:8" ht="15.5">
      <c r="A28" s="8"/>
      <c r="B28" s="9"/>
      <c r="C28" s="3"/>
      <c r="D28" s="11"/>
      <c r="E28" s="4"/>
      <c r="F28" s="4" t="s">
        <v>80</v>
      </c>
      <c r="G28" s="5"/>
      <c r="H28" s="4"/>
    </row>
    <row r="29" spans="1:8" ht="15.5">
      <c r="A29" s="8"/>
      <c r="B29" s="5"/>
      <c r="C29" s="18"/>
      <c r="D29" s="11"/>
      <c r="E29" s="4"/>
      <c r="F29" s="4" t="s">
        <v>81</v>
      </c>
      <c r="G29" s="5">
        <f>4700*56</f>
        <v>263200</v>
      </c>
      <c r="H29" s="5"/>
    </row>
    <row r="30" spans="1:8" ht="15.5">
      <c r="A30" s="8"/>
      <c r="C30" s="18"/>
      <c r="D30" s="11"/>
      <c r="E30" s="4"/>
      <c r="F30" s="4" t="s">
        <v>82</v>
      </c>
      <c r="G30" s="5">
        <v>10000</v>
      </c>
      <c r="H30" s="5"/>
    </row>
    <row r="31" spans="1:8" ht="15.5">
      <c r="A31" s="8"/>
      <c r="B31" s="9"/>
      <c r="C31" s="3"/>
      <c r="D31" s="11"/>
      <c r="E31" s="4"/>
      <c r="F31" s="4" t="s">
        <v>83</v>
      </c>
      <c r="G31" s="5">
        <v>25000</v>
      </c>
      <c r="H31" s="5"/>
    </row>
    <row r="32" spans="1:8" ht="15.5">
      <c r="A32" s="8"/>
      <c r="B32" s="9"/>
      <c r="C32" s="3"/>
      <c r="D32" s="11"/>
      <c r="E32" s="4"/>
      <c r="F32" s="17" t="s">
        <v>84</v>
      </c>
      <c r="G32" s="5">
        <v>35000</v>
      </c>
      <c r="H32" s="5"/>
    </row>
    <row r="33" spans="1:8" ht="15.5">
      <c r="A33" s="8"/>
      <c r="C33" s="18"/>
      <c r="E33" s="4"/>
      <c r="F33" s="4" t="s">
        <v>85</v>
      </c>
      <c r="G33" s="5">
        <v>9000</v>
      </c>
      <c r="H33" s="5"/>
    </row>
    <row r="34" spans="1:8" ht="15.5">
      <c r="A34" s="8"/>
      <c r="B34" s="9"/>
      <c r="C34" s="3"/>
      <c r="D34" s="11"/>
      <c r="E34" s="4"/>
      <c r="F34" s="4" t="s">
        <v>86</v>
      </c>
      <c r="G34" s="5">
        <v>9000</v>
      </c>
      <c r="H34" s="5"/>
    </row>
    <row r="35" spans="1:8" ht="15.5">
      <c r="A35" s="13"/>
      <c r="B35" s="12"/>
      <c r="C35" s="14"/>
      <c r="E35" s="4"/>
      <c r="F35" s="4"/>
      <c r="G35" s="5"/>
      <c r="H35" s="5"/>
    </row>
    <row r="36" spans="1:8" ht="15.5">
      <c r="A36" s="14"/>
      <c r="B36" s="12"/>
      <c r="C36" s="14"/>
      <c r="D36" s="11"/>
      <c r="E36" s="4"/>
      <c r="F36" s="4"/>
      <c r="G36" s="5"/>
      <c r="H36" s="5"/>
    </row>
    <row r="37" spans="1:8" ht="15.5">
      <c r="A37" s="14"/>
      <c r="B37" s="12"/>
      <c r="C37" s="14"/>
      <c r="D37" s="11"/>
      <c r="E37" s="4"/>
      <c r="F37" s="4"/>
      <c r="G37" s="5"/>
      <c r="H37" s="5"/>
    </row>
    <row r="38" spans="1:8" ht="15.5">
      <c r="A38" s="14"/>
      <c r="B38" s="12"/>
      <c r="C38" s="14"/>
      <c r="D38" s="11"/>
      <c r="E38" s="4"/>
      <c r="F38" s="26" t="s">
        <v>87</v>
      </c>
      <c r="G38" s="26"/>
      <c r="H38" s="5"/>
    </row>
    <row r="39" spans="1:8" ht="15.5">
      <c r="A39" s="14"/>
      <c r="B39" s="12"/>
      <c r="C39" s="14"/>
      <c r="D39" s="11"/>
      <c r="E39" s="4"/>
      <c r="F39" s="26" t="s">
        <v>88</v>
      </c>
      <c r="G39" s="26" t="s">
        <v>89</v>
      </c>
      <c r="H39" s="5"/>
    </row>
    <row r="40" spans="1:8" ht="15.5">
      <c r="A40" s="14"/>
      <c r="B40" s="12"/>
      <c r="C40" s="14"/>
      <c r="D40" s="11"/>
      <c r="E40" s="4"/>
      <c r="F40" s="27">
        <v>1</v>
      </c>
      <c r="G40" s="26">
        <v>1163</v>
      </c>
      <c r="H40" s="5"/>
    </row>
    <row r="41" spans="1:8" ht="15.5">
      <c r="A41" s="8"/>
      <c r="B41" s="9"/>
      <c r="C41" s="3"/>
      <c r="D41" s="11"/>
      <c r="E41" s="4"/>
      <c r="F41" s="27">
        <v>2</v>
      </c>
      <c r="G41" s="26">
        <v>1133</v>
      </c>
      <c r="H41" s="5"/>
    </row>
    <row r="42" spans="1:8" ht="15.5">
      <c r="A42" s="8">
        <v>45374</v>
      </c>
      <c r="B42" s="29">
        <v>-30000</v>
      </c>
      <c r="C42" s="3"/>
      <c r="D42" s="11"/>
      <c r="E42" s="4"/>
      <c r="F42" s="27">
        <v>3</v>
      </c>
      <c r="G42" s="26">
        <v>1150</v>
      </c>
      <c r="H42" s="5"/>
    </row>
    <row r="43" spans="1:8" ht="15.5">
      <c r="A43" s="8">
        <v>45389</v>
      </c>
      <c r="B43" s="30">
        <v>-15000</v>
      </c>
      <c r="C43" s="31"/>
      <c r="D43" s="11"/>
      <c r="E43" s="4"/>
      <c r="F43" s="27">
        <v>4</v>
      </c>
      <c r="G43" s="26">
        <v>1233</v>
      </c>
      <c r="H43" s="5"/>
    </row>
    <row r="44" spans="1:8" ht="15.5">
      <c r="A44" s="8"/>
      <c r="B44" s="12"/>
      <c r="C44" s="3" t="s">
        <v>109</v>
      </c>
      <c r="D44" s="3"/>
      <c r="E44" s="4"/>
      <c r="F44" s="27">
        <v>5</v>
      </c>
      <c r="G44" s="26">
        <v>989</v>
      </c>
      <c r="H44" s="5"/>
    </row>
    <row r="45" spans="1:8" ht="15.5">
      <c r="D45" s="11"/>
      <c r="E45" s="4"/>
      <c r="F45" s="27">
        <v>6</v>
      </c>
      <c r="G45" s="26">
        <v>953</v>
      </c>
      <c r="H45" s="5"/>
    </row>
    <row r="46" spans="1:8" ht="15.5">
      <c r="A46" s="8">
        <v>45409</v>
      </c>
      <c r="B46" s="32">
        <v>-30000</v>
      </c>
      <c r="C46" s="33" t="s">
        <v>110</v>
      </c>
      <c r="D46" s="11"/>
      <c r="E46" s="4"/>
      <c r="F46" s="27">
        <v>7</v>
      </c>
      <c r="G46" s="26">
        <v>864</v>
      </c>
      <c r="H46" s="5"/>
    </row>
    <row r="47" spans="1:8" ht="15.5">
      <c r="A47" s="8">
        <v>45404</v>
      </c>
      <c r="B47" s="34">
        <v>-20000</v>
      </c>
      <c r="C47" s="35" t="s">
        <v>111</v>
      </c>
      <c r="D47" s="11"/>
      <c r="E47" s="4"/>
      <c r="F47" s="27">
        <v>8</v>
      </c>
      <c r="G47" s="26">
        <v>710</v>
      </c>
      <c r="H47" s="5"/>
    </row>
    <row r="48" spans="1:8" ht="15.5">
      <c r="A48" s="8">
        <v>45394</v>
      </c>
      <c r="B48" s="34">
        <v>-15000</v>
      </c>
      <c r="C48" s="35" t="s">
        <v>112</v>
      </c>
      <c r="D48" s="11"/>
      <c r="E48" s="4"/>
      <c r="F48" s="28"/>
      <c r="G48" s="26"/>
      <c r="H48" s="5"/>
    </row>
    <row r="49" spans="1:8" ht="15.5">
      <c r="A49" s="8"/>
      <c r="B49" s="9"/>
      <c r="C49" s="3"/>
      <c r="D49" s="11"/>
      <c r="E49" s="4">
        <v>70000</v>
      </c>
      <c r="F49" s="26"/>
      <c r="G49" s="26">
        <f>SUM(G40:G48)</f>
        <v>8195</v>
      </c>
      <c r="H49" s="5"/>
    </row>
    <row r="50" spans="1:8" ht="15.5">
      <c r="A50" s="8"/>
      <c r="B50" s="9">
        <f>SUM(B42:B49)</f>
        <v>-110000</v>
      </c>
      <c r="C50" s="3"/>
      <c r="D50" s="11"/>
      <c r="E50" s="4">
        <v>65000</v>
      </c>
      <c r="F50" s="4"/>
      <c r="G50" s="5"/>
      <c r="H50" s="5"/>
    </row>
    <row r="51" spans="1:8" ht="15.5">
      <c r="A51" s="8"/>
      <c r="B51" s="9"/>
      <c r="C51" s="3"/>
      <c r="D51" s="11"/>
      <c r="E51" s="4"/>
      <c r="F51" s="4"/>
      <c r="G51" s="5"/>
      <c r="H51" s="5"/>
    </row>
    <row r="52" spans="1:8" ht="15.5">
      <c r="A52" s="8"/>
      <c r="B52" s="9"/>
      <c r="C52" s="3"/>
      <c r="D52" s="11"/>
      <c r="E52" s="4">
        <f>SUM(E49:E51)</f>
        <v>135000</v>
      </c>
      <c r="F52" s="4"/>
      <c r="G52" s="5"/>
      <c r="H52" s="5"/>
    </row>
    <row r="53" spans="1:8" ht="15.5">
      <c r="A53" s="8"/>
      <c r="B53" s="9"/>
      <c r="C53" s="3"/>
      <c r="D53" s="11"/>
      <c r="E53" s="4"/>
      <c r="F53" s="4"/>
      <c r="G53" s="5"/>
      <c r="H53" s="5">
        <v>50000</v>
      </c>
    </row>
    <row r="54" spans="1:8" ht="15.5">
      <c r="A54" s="8"/>
      <c r="B54" s="9">
        <f>SUM(B9:B53)</f>
        <v>-295200</v>
      </c>
      <c r="C54" s="3"/>
      <c r="D54" s="11"/>
      <c r="E54" s="4"/>
      <c r="F54" s="4"/>
      <c r="G54" s="5"/>
      <c r="H54" s="5">
        <v>80000</v>
      </c>
    </row>
    <row r="55" spans="1:8" ht="15.5">
      <c r="A55" s="8"/>
      <c r="B55" s="9"/>
      <c r="C55" s="3"/>
      <c r="D55" s="11"/>
      <c r="E55" s="4"/>
      <c r="F55" s="4"/>
      <c r="G55" s="5"/>
      <c r="H55" s="5"/>
    </row>
    <row r="56" spans="1:8" ht="15.5">
      <c r="A56" s="8"/>
      <c r="B56" s="9"/>
      <c r="C56" s="3"/>
      <c r="D56" s="11"/>
      <c r="E56" s="4"/>
      <c r="F56" s="4"/>
      <c r="G56" s="5"/>
      <c r="H56" s="5"/>
    </row>
    <row r="57" spans="1:8" ht="15.5">
      <c r="A57" s="8"/>
      <c r="B57" s="9"/>
      <c r="C57" s="3"/>
      <c r="D57" s="11"/>
      <c r="E57" s="4"/>
      <c r="F57" s="4"/>
      <c r="G57" s="5"/>
      <c r="H57" s="5"/>
    </row>
    <row r="58" spans="1:8" ht="15.5">
      <c r="A58" s="8"/>
      <c r="B58" s="9"/>
      <c r="C58" s="3"/>
      <c r="D58" s="11"/>
      <c r="E58" s="4"/>
      <c r="F58" s="4"/>
      <c r="G58" s="5"/>
      <c r="H58" s="5"/>
    </row>
    <row r="59" spans="1:8" ht="15.5">
      <c r="A59" s="8"/>
      <c r="B59" s="9"/>
      <c r="C59" s="3"/>
      <c r="D59" s="11"/>
      <c r="E59" s="4"/>
      <c r="F59" s="4"/>
      <c r="G59" s="5"/>
      <c r="H59" s="5"/>
    </row>
    <row r="60" spans="1:8" ht="15.5">
      <c r="A60" s="8"/>
      <c r="B60" s="9"/>
      <c r="C60" s="3"/>
      <c r="D60" s="11"/>
      <c r="E60" s="4"/>
      <c r="F60" s="4"/>
      <c r="G60" s="5"/>
      <c r="H60" s="5"/>
    </row>
    <row r="61" spans="1:8" ht="15.5">
      <c r="A61" s="8"/>
      <c r="B61" s="9"/>
      <c r="C61" s="3"/>
      <c r="D61" s="11"/>
      <c r="E61" s="4"/>
      <c r="F61" s="4"/>
      <c r="G61" s="5"/>
      <c r="H61" s="5"/>
    </row>
    <row r="62" spans="1:8" ht="15.5">
      <c r="A62" s="8"/>
      <c r="B62" s="9"/>
      <c r="C62" s="3"/>
      <c r="D62" s="22"/>
      <c r="E62" s="4"/>
      <c r="F62" s="4"/>
      <c r="G62" s="5"/>
      <c r="H62" s="5"/>
    </row>
    <row r="63" spans="1:8" ht="15.5">
      <c r="A63" s="8"/>
      <c r="B63" s="9"/>
      <c r="C63" s="3"/>
      <c r="D63" s="22"/>
      <c r="E63" s="4"/>
      <c r="F63" s="4"/>
      <c r="G63" s="5"/>
      <c r="H63" s="5"/>
    </row>
    <row r="64" spans="1:8" ht="15.5">
      <c r="A64" s="8"/>
      <c r="B64" s="9"/>
      <c r="C64" s="3"/>
      <c r="D64" s="22"/>
      <c r="E64" s="4"/>
      <c r="F64" s="4"/>
      <c r="G64" s="5"/>
      <c r="H64" s="5"/>
    </row>
    <row r="65" spans="1:10" ht="15.5">
      <c r="A65" s="8"/>
      <c r="B65" s="9"/>
      <c r="C65" s="3"/>
      <c r="D65" s="22"/>
      <c r="E65" s="4"/>
      <c r="F65" s="4"/>
      <c r="G65" s="5"/>
      <c r="H65" s="5"/>
    </row>
    <row r="66" spans="1:10" ht="15.5">
      <c r="A66" s="8"/>
      <c r="B66" s="9"/>
      <c r="C66" s="3"/>
      <c r="D66" s="22"/>
      <c r="E66" s="4"/>
      <c r="F66" s="4"/>
      <c r="G66" s="5"/>
      <c r="H66" s="5"/>
    </row>
    <row r="67" spans="1:10" ht="15.5">
      <c r="A67" s="8"/>
      <c r="B67" s="9"/>
      <c r="C67" s="3"/>
      <c r="D67" s="22"/>
      <c r="E67" s="4"/>
      <c r="F67" s="4"/>
      <c r="G67" s="5"/>
      <c r="H67" s="5"/>
    </row>
    <row r="68" spans="1:10" ht="15.5">
      <c r="A68" s="8"/>
      <c r="B68" s="9"/>
      <c r="C68" s="3"/>
      <c r="D68" s="22"/>
      <c r="E68" s="4"/>
      <c r="F68" s="4"/>
      <c r="G68" s="5"/>
      <c r="H68" s="5"/>
    </row>
    <row r="69" spans="1:10" ht="15.5">
      <c r="A69" s="8"/>
      <c r="B69" s="9"/>
      <c r="C69" s="3"/>
      <c r="D69" s="22"/>
      <c r="E69" s="4"/>
      <c r="F69" s="4"/>
      <c r="G69" s="5"/>
      <c r="H69" s="5"/>
    </row>
    <row r="70" spans="1:10" ht="15.5">
      <c r="A70" s="8">
        <v>45232</v>
      </c>
      <c r="B70" s="12"/>
      <c r="C70" s="14" t="s">
        <v>30</v>
      </c>
      <c r="D70" s="10">
        <f t="shared" ref="D70:D101" si="0">+D69+B70</f>
        <v>0</v>
      </c>
      <c r="E70" s="4"/>
      <c r="F70" s="4"/>
      <c r="G70" s="5"/>
      <c r="H70" s="5"/>
    </row>
    <row r="71" spans="1:10" ht="15.5">
      <c r="A71" s="8">
        <v>45232</v>
      </c>
      <c r="B71" s="12"/>
      <c r="C71" s="14" t="s">
        <v>19</v>
      </c>
      <c r="D71" s="10">
        <f t="shared" si="0"/>
        <v>0</v>
      </c>
      <c r="E71" s="4"/>
      <c r="F71" s="4"/>
      <c r="G71" s="5"/>
      <c r="H71" s="5"/>
    </row>
    <row r="72" spans="1:10" ht="15.5">
      <c r="A72" s="8">
        <v>45233</v>
      </c>
      <c r="B72" s="9">
        <v>-500</v>
      </c>
      <c r="C72" s="3" t="s">
        <v>31</v>
      </c>
      <c r="D72" s="10">
        <f t="shared" si="0"/>
        <v>-500</v>
      </c>
      <c r="E72" s="4"/>
      <c r="F72" s="4"/>
      <c r="G72" s="5"/>
      <c r="H72" s="5"/>
      <c r="J72" s="2"/>
    </row>
    <row r="73" spans="1:10" ht="15.5">
      <c r="A73" s="8">
        <v>45234</v>
      </c>
      <c r="B73" s="2">
        <v>-2300</v>
      </c>
      <c r="C73" s="16" t="s">
        <v>6</v>
      </c>
      <c r="D73" s="10">
        <f t="shared" si="0"/>
        <v>-2800</v>
      </c>
      <c r="E73" s="4"/>
      <c r="F73" s="4"/>
      <c r="G73" s="5"/>
      <c r="H73" s="5"/>
    </row>
    <row r="74" spans="1:10" ht="15.5">
      <c r="A74" s="8">
        <v>45234</v>
      </c>
      <c r="B74" s="12">
        <v>-1300</v>
      </c>
      <c r="C74" s="14" t="s">
        <v>32</v>
      </c>
      <c r="D74" s="10">
        <f t="shared" si="0"/>
        <v>-4100</v>
      </c>
      <c r="E74" s="4"/>
      <c r="F74" s="4"/>
      <c r="G74" s="5">
        <f>SUM(G29:G73)</f>
        <v>367590</v>
      </c>
      <c r="H74" s="5"/>
    </row>
    <row r="75" spans="1:10" ht="15.5">
      <c r="A75" s="8">
        <v>45234</v>
      </c>
      <c r="B75" s="12">
        <v>-1200</v>
      </c>
      <c r="C75" s="14" t="s">
        <v>33</v>
      </c>
      <c r="D75" s="10">
        <f t="shared" si="0"/>
        <v>-5300</v>
      </c>
      <c r="E75" s="4"/>
      <c r="F75" s="4"/>
      <c r="G75" s="5"/>
      <c r="H75" s="5"/>
      <c r="J75" s="11"/>
    </row>
    <row r="76" spans="1:10" ht="15.5">
      <c r="A76" s="8">
        <v>45235</v>
      </c>
      <c r="B76" s="9">
        <f>-300*56</f>
        <v>-16800</v>
      </c>
      <c r="C76" s="3" t="s">
        <v>34</v>
      </c>
      <c r="D76" s="10">
        <f t="shared" si="0"/>
        <v>-22100</v>
      </c>
      <c r="E76" s="4"/>
      <c r="F76" s="4"/>
      <c r="G76" s="5"/>
      <c r="H76" s="5"/>
    </row>
    <row r="77" spans="1:10" ht="15.5">
      <c r="A77" s="8">
        <v>45238</v>
      </c>
      <c r="B77" s="9">
        <v>-600</v>
      </c>
      <c r="C77" s="3" t="s">
        <v>35</v>
      </c>
      <c r="D77" s="10">
        <f t="shared" si="0"/>
        <v>-22700</v>
      </c>
      <c r="E77" s="4"/>
      <c r="F77" s="4"/>
      <c r="G77" s="5"/>
      <c r="H77" s="5"/>
    </row>
    <row r="78" spans="1:10" ht="15.5">
      <c r="A78" s="8">
        <v>45238</v>
      </c>
      <c r="B78" s="9"/>
      <c r="C78" s="3" t="s">
        <v>36</v>
      </c>
      <c r="D78" s="10">
        <f t="shared" si="0"/>
        <v>-22700</v>
      </c>
      <c r="E78" s="4"/>
      <c r="F78" s="4"/>
      <c r="G78" s="5"/>
      <c r="H78" s="5"/>
    </row>
    <row r="79" spans="1:10" ht="15.5">
      <c r="A79" s="8">
        <v>45238</v>
      </c>
      <c r="B79" s="9"/>
      <c r="C79" s="3" t="s">
        <v>37</v>
      </c>
      <c r="D79" s="10">
        <f t="shared" si="0"/>
        <v>-22700</v>
      </c>
      <c r="E79" s="4"/>
      <c r="F79" s="17"/>
      <c r="G79" s="5"/>
      <c r="H79" s="5"/>
    </row>
    <row r="80" spans="1:10" ht="15.5">
      <c r="A80" s="8">
        <v>45234</v>
      </c>
      <c r="B80" s="9">
        <v>-1424</v>
      </c>
      <c r="C80" s="3" t="s">
        <v>38</v>
      </c>
      <c r="D80" s="10">
        <f t="shared" si="0"/>
        <v>-24124</v>
      </c>
      <c r="E80" s="4"/>
      <c r="F80" s="4"/>
      <c r="G80" s="5"/>
      <c r="H80" s="5"/>
    </row>
    <row r="81" spans="1:10" ht="15.5">
      <c r="A81" s="8">
        <v>45238</v>
      </c>
      <c r="B81" s="9"/>
      <c r="C81" s="3"/>
      <c r="D81" s="10">
        <f t="shared" si="0"/>
        <v>-24124</v>
      </c>
      <c r="E81" s="4"/>
      <c r="F81" s="4"/>
      <c r="G81" s="5"/>
      <c r="H81" s="5"/>
    </row>
    <row r="82" spans="1:10" ht="15.5">
      <c r="A82" s="8">
        <v>45240</v>
      </c>
      <c r="B82" s="2">
        <v>-1000</v>
      </c>
      <c r="C82" s="18" t="s">
        <v>31</v>
      </c>
      <c r="D82" s="10">
        <f t="shared" si="0"/>
        <v>-25124</v>
      </c>
      <c r="E82" s="4"/>
      <c r="F82" s="4"/>
      <c r="G82" s="5"/>
      <c r="H82" s="5"/>
    </row>
    <row r="83" spans="1:10" ht="15.5">
      <c r="A83" s="8">
        <v>45239</v>
      </c>
      <c r="B83" s="9">
        <v>-500</v>
      </c>
      <c r="C83" s="3" t="s">
        <v>37</v>
      </c>
      <c r="D83" s="10">
        <f t="shared" si="0"/>
        <v>-25624</v>
      </c>
      <c r="E83" s="4"/>
      <c r="F83" s="4"/>
      <c r="G83" s="5"/>
      <c r="H83" s="5"/>
    </row>
    <row r="84" spans="1:10" ht="15.5">
      <c r="A84" s="8">
        <v>45237</v>
      </c>
      <c r="B84" s="9">
        <v>-2400</v>
      </c>
      <c r="C84" s="3" t="s">
        <v>6</v>
      </c>
      <c r="D84" s="10">
        <f t="shared" si="0"/>
        <v>-28024</v>
      </c>
      <c r="E84" s="4"/>
      <c r="F84" s="4"/>
      <c r="G84" s="5"/>
      <c r="H84" s="5"/>
      <c r="J84" s="11">
        <v>284865</v>
      </c>
    </row>
    <row r="85" spans="1:10" ht="15.5">
      <c r="A85" s="8">
        <v>45237</v>
      </c>
      <c r="B85" s="9">
        <v>-1097</v>
      </c>
      <c r="C85" s="3" t="s">
        <v>33</v>
      </c>
      <c r="D85" s="10">
        <f t="shared" si="0"/>
        <v>-29121</v>
      </c>
      <c r="E85" s="4"/>
      <c r="F85" s="4" t="s">
        <v>39</v>
      </c>
      <c r="G85" s="2">
        <v>385000</v>
      </c>
      <c r="H85" s="5"/>
    </row>
    <row r="86" spans="1:10" ht="15.5">
      <c r="A86" s="8">
        <v>45237</v>
      </c>
      <c r="B86" s="9">
        <v>-1150</v>
      </c>
      <c r="C86" s="3" t="s">
        <v>40</v>
      </c>
      <c r="D86" s="10">
        <f t="shared" si="0"/>
        <v>-30271</v>
      </c>
      <c r="E86" s="4"/>
      <c r="F86" s="4" t="s">
        <v>41</v>
      </c>
      <c r="G86" s="2">
        <v>-3133.64</v>
      </c>
      <c r="H86" s="5"/>
    </row>
    <row r="87" spans="1:10" ht="15.5">
      <c r="A87" s="8">
        <v>45237</v>
      </c>
      <c r="B87" s="9">
        <v>-731</v>
      </c>
      <c r="C87" s="3" t="s">
        <v>42</v>
      </c>
      <c r="D87" s="10">
        <f t="shared" si="0"/>
        <v>-31002</v>
      </c>
      <c r="E87" s="4"/>
      <c r="F87" s="19" t="s">
        <v>43</v>
      </c>
      <c r="G87" s="2">
        <v>-368.66</v>
      </c>
      <c r="H87" s="5"/>
    </row>
    <row r="88" spans="1:10" ht="15.5">
      <c r="A88" s="8">
        <v>45239</v>
      </c>
      <c r="B88" s="9">
        <v>-3050</v>
      </c>
      <c r="C88" s="3" t="s">
        <v>37</v>
      </c>
      <c r="D88" s="10">
        <f t="shared" si="0"/>
        <v>-34052</v>
      </c>
      <c r="E88" s="4"/>
      <c r="F88" s="4" t="s">
        <v>44</v>
      </c>
      <c r="G88" s="2">
        <v>-1163.1300000000001</v>
      </c>
      <c r="H88" s="5"/>
    </row>
    <row r="89" spans="1:10" ht="15.5">
      <c r="A89" s="8">
        <v>45239</v>
      </c>
      <c r="B89" s="9">
        <v>-1173</v>
      </c>
      <c r="C89" s="3" t="s">
        <v>37</v>
      </c>
      <c r="D89" s="10">
        <f t="shared" si="0"/>
        <v>-35225</v>
      </c>
      <c r="E89" s="4"/>
      <c r="F89" s="4" t="s">
        <v>45</v>
      </c>
      <c r="G89" s="2">
        <v>-553</v>
      </c>
      <c r="H89" s="5"/>
    </row>
    <row r="90" spans="1:10" ht="15.5">
      <c r="A90" s="20">
        <v>45258</v>
      </c>
      <c r="B90" s="2">
        <v>-670</v>
      </c>
      <c r="C90" s="18" t="s">
        <v>19</v>
      </c>
      <c r="D90" s="10">
        <f t="shared" si="0"/>
        <v>-35895</v>
      </c>
      <c r="E90" s="4"/>
      <c r="F90" s="4" t="s">
        <v>46</v>
      </c>
      <c r="G90" s="2">
        <v>-553</v>
      </c>
      <c r="H90" s="5"/>
    </row>
    <row r="91" spans="1:10" ht="15.5">
      <c r="A91" s="20">
        <v>45258</v>
      </c>
      <c r="B91" s="2">
        <v>-1412</v>
      </c>
      <c r="C91" s="18" t="s">
        <v>38</v>
      </c>
      <c r="D91" s="10">
        <f t="shared" si="0"/>
        <v>-37307</v>
      </c>
      <c r="E91" s="4"/>
      <c r="F91" s="4" t="s">
        <v>47</v>
      </c>
      <c r="G91" s="2">
        <v>-553</v>
      </c>
      <c r="H91" s="5"/>
    </row>
    <row r="92" spans="1:10" ht="15.5">
      <c r="A92" s="8">
        <v>45257</v>
      </c>
      <c r="B92" s="9">
        <v>-3000</v>
      </c>
      <c r="C92" s="3" t="s">
        <v>6</v>
      </c>
      <c r="D92" s="10">
        <f t="shared" si="0"/>
        <v>-40307</v>
      </c>
      <c r="E92" s="4"/>
      <c r="H92" s="5"/>
    </row>
    <row r="93" spans="1:10" ht="15.5">
      <c r="A93" s="8">
        <v>45257</v>
      </c>
      <c r="B93" s="9">
        <v>-265</v>
      </c>
      <c r="C93" s="3" t="s">
        <v>37</v>
      </c>
      <c r="D93" s="10">
        <f t="shared" si="0"/>
        <v>-40572</v>
      </c>
      <c r="E93" s="4"/>
      <c r="F93" s="4" t="s">
        <v>48</v>
      </c>
      <c r="G93" s="2">
        <f>SUM(G85:G91)</f>
        <v>378675.57</v>
      </c>
      <c r="H93" s="5"/>
    </row>
    <row r="94" spans="1:10" ht="15.5">
      <c r="A94" s="8">
        <v>45257</v>
      </c>
      <c r="B94" s="9">
        <v>-835.44</v>
      </c>
      <c r="C94" s="3"/>
      <c r="D94" s="10">
        <f t="shared" si="0"/>
        <v>-41407.440000000002</v>
      </c>
      <c r="E94" s="4"/>
      <c r="F94" s="4" t="s">
        <v>49</v>
      </c>
      <c r="G94" s="2">
        <f>+G93*0.25</f>
        <v>94668.892500000002</v>
      </c>
      <c r="H94" s="5"/>
    </row>
    <row r="95" spans="1:10" ht="15.5">
      <c r="A95" s="8">
        <v>45257</v>
      </c>
      <c r="B95" s="9">
        <v>-8849</v>
      </c>
      <c r="C95" s="3" t="s">
        <v>37</v>
      </c>
      <c r="D95" s="10">
        <f t="shared" si="0"/>
        <v>-50256.44</v>
      </c>
      <c r="E95" s="4"/>
      <c r="F95" s="4" t="s">
        <v>50</v>
      </c>
      <c r="G95" s="5">
        <v>-90000</v>
      </c>
      <c r="H95" s="5"/>
      <c r="J95" s="2"/>
    </row>
    <row r="96" spans="1:10" ht="15.5">
      <c r="A96" s="8">
        <v>45257</v>
      </c>
      <c r="B96" s="9"/>
      <c r="C96" s="3" t="s">
        <v>51</v>
      </c>
      <c r="D96" s="10">
        <f t="shared" si="0"/>
        <v>-50256.44</v>
      </c>
      <c r="E96" s="4"/>
      <c r="F96" s="4" t="s">
        <v>52</v>
      </c>
      <c r="G96" s="5">
        <f>SUM(G94:G95)</f>
        <v>4668.8925000000017</v>
      </c>
      <c r="H96" s="5"/>
    </row>
    <row r="97" spans="1:10" ht="15.5">
      <c r="A97" s="8">
        <v>45254</v>
      </c>
      <c r="B97" s="9">
        <v>-730</v>
      </c>
      <c r="C97" s="3" t="s">
        <v>53</v>
      </c>
      <c r="D97" s="10">
        <f t="shared" si="0"/>
        <v>-50986.44</v>
      </c>
      <c r="E97" s="4"/>
      <c r="F97" s="4"/>
      <c r="G97" s="5"/>
      <c r="H97" s="5"/>
    </row>
    <row r="98" spans="1:10" ht="15.5">
      <c r="A98" s="8">
        <v>45244</v>
      </c>
      <c r="B98" s="9">
        <v>-350</v>
      </c>
      <c r="C98" s="3" t="s">
        <v>53</v>
      </c>
      <c r="D98" s="10">
        <f t="shared" si="0"/>
        <v>-51336.44</v>
      </c>
      <c r="E98" s="4"/>
      <c r="F98" s="4"/>
      <c r="G98" s="5"/>
      <c r="H98" s="5"/>
      <c r="J98" s="11"/>
    </row>
    <row r="99" spans="1:10" ht="15.5">
      <c r="A99" s="8">
        <v>45243</v>
      </c>
      <c r="B99" s="9">
        <v>-2901</v>
      </c>
      <c r="C99" s="3" t="s">
        <v>6</v>
      </c>
      <c r="D99" s="10">
        <f t="shared" si="0"/>
        <v>-54237.440000000002</v>
      </c>
      <c r="E99" s="4"/>
      <c r="F99" s="4"/>
      <c r="G99" s="5"/>
      <c r="H99" s="5"/>
    </row>
    <row r="100" spans="1:10" ht="15.5">
      <c r="A100" s="8">
        <v>45240</v>
      </c>
      <c r="B100" s="9">
        <v>-1654</v>
      </c>
      <c r="C100" s="3" t="s">
        <v>38</v>
      </c>
      <c r="D100" s="10">
        <f t="shared" si="0"/>
        <v>-55891.44</v>
      </c>
      <c r="E100" s="4"/>
      <c r="F100" s="4"/>
      <c r="G100" s="5"/>
      <c r="H100" s="5">
        <v>284865</v>
      </c>
    </row>
    <row r="101" spans="1:10" ht="15.5">
      <c r="A101" s="8">
        <v>45239</v>
      </c>
      <c r="B101" s="9">
        <v>-2191</v>
      </c>
      <c r="C101" s="3" t="s">
        <v>37</v>
      </c>
      <c r="D101" s="10">
        <f t="shared" si="0"/>
        <v>-58082.44</v>
      </c>
      <c r="E101" s="4"/>
      <c r="F101" s="4"/>
      <c r="G101" s="5"/>
      <c r="H101" s="5">
        <v>90000</v>
      </c>
    </row>
    <row r="102" spans="1:10" ht="15.5">
      <c r="A102" s="8">
        <v>45257</v>
      </c>
      <c r="B102" s="9">
        <v>-3000</v>
      </c>
      <c r="C102" s="3" t="s">
        <v>31</v>
      </c>
      <c r="D102" s="10">
        <f t="shared" ref="D102:D118" si="1">+D101+B102</f>
        <v>-61082.44</v>
      </c>
      <c r="E102" s="4"/>
      <c r="F102" s="17">
        <f>SUM(B25:B100)</f>
        <v>-571091.43999999994</v>
      </c>
      <c r="G102" s="5"/>
      <c r="H102" s="5">
        <v>5000</v>
      </c>
    </row>
    <row r="103" spans="1:10" ht="15.5">
      <c r="A103" s="8">
        <v>45257</v>
      </c>
      <c r="B103" s="9"/>
      <c r="C103" s="3" t="s">
        <v>54</v>
      </c>
      <c r="D103" s="10">
        <f t="shared" si="1"/>
        <v>-61082.44</v>
      </c>
      <c r="E103" s="4"/>
      <c r="F103" s="4"/>
      <c r="G103" s="5"/>
      <c r="H103" s="5">
        <f>SUM(H100:H102)</f>
        <v>379865</v>
      </c>
    </row>
    <row r="104" spans="1:10" ht="15.5">
      <c r="A104" s="8">
        <v>45257</v>
      </c>
      <c r="B104" s="9"/>
      <c r="C104" s="3" t="s">
        <v>55</v>
      </c>
      <c r="D104" s="10">
        <f t="shared" si="1"/>
        <v>-61082.44</v>
      </c>
      <c r="E104" s="4"/>
      <c r="F104" s="4"/>
      <c r="G104" s="5"/>
      <c r="H104" s="5"/>
    </row>
    <row r="105" spans="1:10" ht="15.5">
      <c r="A105" s="8">
        <v>45257</v>
      </c>
      <c r="B105" s="9">
        <v>-12000</v>
      </c>
      <c r="C105" s="3" t="s">
        <v>56</v>
      </c>
      <c r="D105" s="10">
        <f t="shared" si="1"/>
        <v>-73082.44</v>
      </c>
      <c r="E105" s="4"/>
      <c r="F105" s="4"/>
      <c r="G105" s="5"/>
      <c r="H105" s="5"/>
    </row>
    <row r="106" spans="1:10" ht="15.5">
      <c r="A106" s="8">
        <v>45260</v>
      </c>
      <c r="B106" s="9">
        <v>-2000</v>
      </c>
      <c r="C106" s="21" t="s">
        <v>31</v>
      </c>
      <c r="D106" s="10">
        <f t="shared" si="1"/>
        <v>-75082.44</v>
      </c>
      <c r="E106" s="4"/>
      <c r="F106" s="4"/>
      <c r="G106" s="5"/>
      <c r="H106" s="5"/>
    </row>
    <row r="107" spans="1:10" ht="15.5">
      <c r="A107" s="8">
        <v>45260</v>
      </c>
      <c r="B107" s="9">
        <v>-1000</v>
      </c>
      <c r="C107" s="3" t="s">
        <v>57</v>
      </c>
      <c r="D107" s="10">
        <f t="shared" si="1"/>
        <v>-76082.44</v>
      </c>
      <c r="E107" s="4"/>
      <c r="F107" s="4"/>
      <c r="G107" s="5"/>
      <c r="H107" s="5"/>
    </row>
    <row r="108" spans="1:10" ht="15.5">
      <c r="A108" s="8"/>
      <c r="B108" s="9"/>
      <c r="C108" s="3"/>
      <c r="D108" s="10">
        <f t="shared" si="1"/>
        <v>-76082.44</v>
      </c>
      <c r="E108" s="4"/>
      <c r="F108" s="4"/>
      <c r="G108" s="5"/>
      <c r="H108" s="5"/>
    </row>
    <row r="109" spans="1:10" ht="15.5">
      <c r="A109" s="8"/>
      <c r="B109" s="9"/>
      <c r="C109" s="3"/>
      <c r="D109" s="10">
        <f t="shared" si="1"/>
        <v>-76082.44</v>
      </c>
      <c r="E109" s="4"/>
      <c r="F109" s="4"/>
      <c r="G109" s="5"/>
      <c r="H109" s="5"/>
    </row>
    <row r="110" spans="1:10" ht="15.5">
      <c r="A110" s="8"/>
      <c r="B110" s="9"/>
      <c r="C110" s="3"/>
      <c r="D110" s="10">
        <f t="shared" si="1"/>
        <v>-76082.44</v>
      </c>
      <c r="E110" s="4"/>
      <c r="F110" s="4"/>
      <c r="G110" s="5"/>
      <c r="H110" s="5"/>
    </row>
    <row r="111" spans="1:10" ht="15.5">
      <c r="A111" s="8"/>
      <c r="B111" s="9">
        <f>SUM(B70:B110)</f>
        <v>-76082.44</v>
      </c>
      <c r="C111" s="3"/>
      <c r="D111" s="10">
        <f t="shared" si="1"/>
        <v>-152164.88</v>
      </c>
      <c r="E111" s="4"/>
      <c r="F111" s="4"/>
      <c r="G111" s="5"/>
      <c r="H111" s="5"/>
    </row>
    <row r="112" spans="1:10" ht="15.5">
      <c r="A112" s="8"/>
      <c r="B112" s="9"/>
      <c r="C112" s="3"/>
      <c r="D112" s="10">
        <f t="shared" si="1"/>
        <v>-152164.88</v>
      </c>
      <c r="E112" s="4"/>
      <c r="F112" s="4"/>
      <c r="G112" s="5"/>
      <c r="H112" s="5"/>
    </row>
    <row r="113" spans="1:8" ht="15.5">
      <c r="A113" s="8"/>
      <c r="B113" s="9"/>
      <c r="C113" s="3"/>
      <c r="D113" s="10">
        <f t="shared" si="1"/>
        <v>-152164.88</v>
      </c>
      <c r="E113" s="4"/>
      <c r="F113" s="4"/>
      <c r="G113" s="5"/>
      <c r="H113" s="5"/>
    </row>
    <row r="114" spans="1:8" ht="15.5">
      <c r="A114" s="8"/>
      <c r="B114" s="9"/>
      <c r="C114" s="3"/>
      <c r="D114" s="10">
        <f t="shared" si="1"/>
        <v>-152164.88</v>
      </c>
      <c r="E114" s="4"/>
      <c r="F114" s="4"/>
      <c r="G114" s="5"/>
      <c r="H114" s="5"/>
    </row>
    <row r="115" spans="1:8" ht="15.5">
      <c r="A115" s="8"/>
      <c r="B115" s="9">
        <f>SUM(B70:B114)</f>
        <v>-152164.88</v>
      </c>
      <c r="C115" s="3"/>
      <c r="D115" s="10">
        <f t="shared" si="1"/>
        <v>-304329.76</v>
      </c>
      <c r="E115" s="4"/>
      <c r="F115" s="4"/>
      <c r="G115" s="5"/>
      <c r="H115" s="5"/>
    </row>
    <row r="116" spans="1:8" ht="15.5">
      <c r="A116" s="8"/>
      <c r="B116" s="9"/>
      <c r="C116" s="3"/>
      <c r="D116" s="10">
        <f t="shared" si="1"/>
        <v>-304329.76</v>
      </c>
      <c r="E116" s="4"/>
      <c r="F116" s="4"/>
      <c r="G116" s="5"/>
      <c r="H116" s="5"/>
    </row>
    <row r="117" spans="1:8" ht="15.5">
      <c r="A117" s="8"/>
      <c r="B117" s="9"/>
      <c r="C117" s="3"/>
      <c r="D117" s="22">
        <f t="shared" si="1"/>
        <v>-304329.76</v>
      </c>
      <c r="E117" s="4"/>
      <c r="F117" s="4"/>
      <c r="G117" s="5"/>
      <c r="H117" s="5"/>
    </row>
    <row r="118" spans="1:8" ht="15.5">
      <c r="A118" s="8"/>
      <c r="B118" s="9"/>
      <c r="C118" s="3"/>
      <c r="D118" s="22">
        <f t="shared" si="1"/>
        <v>-304329.76</v>
      </c>
      <c r="E118" s="4"/>
      <c r="F118" s="4"/>
      <c r="G118" s="5"/>
      <c r="H118" s="5"/>
    </row>
    <row r="119" spans="1:8" ht="15.5">
      <c r="A119" s="8"/>
      <c r="B119" s="9"/>
      <c r="C119" s="3"/>
      <c r="D119" s="22"/>
      <c r="E119" s="4"/>
      <c r="F119" s="4"/>
      <c r="G119" s="5"/>
      <c r="H119" s="5"/>
    </row>
    <row r="120" spans="1:8" ht="15.5">
      <c r="A120" s="8"/>
      <c r="B120" s="9"/>
      <c r="C120" s="3"/>
      <c r="D120" s="22"/>
      <c r="E120" s="4"/>
      <c r="F120" s="4"/>
      <c r="G120" s="5"/>
      <c r="H120" s="5"/>
    </row>
    <row r="121" spans="1:8" ht="15.5">
      <c r="A121" s="8"/>
      <c r="B121" s="9"/>
      <c r="C121" s="3"/>
      <c r="D121" s="22"/>
      <c r="E121" s="4"/>
      <c r="F121" s="4"/>
      <c r="G121" s="5"/>
      <c r="H121" s="5"/>
    </row>
    <row r="122" spans="1:8" ht="15.5">
      <c r="A122" s="8"/>
      <c r="B122" s="9"/>
      <c r="C122" s="3"/>
      <c r="D122" s="22"/>
      <c r="E122" s="4"/>
      <c r="F122" s="4"/>
      <c r="G122" s="5"/>
      <c r="H122" s="5"/>
    </row>
    <row r="123" spans="1:8" ht="15.5">
      <c r="A123" s="8"/>
      <c r="B123" s="9"/>
      <c r="C123" s="3"/>
      <c r="D123" s="22"/>
      <c r="E123" s="4"/>
      <c r="F123" s="4"/>
      <c r="G123" s="5"/>
      <c r="H123" s="5"/>
    </row>
    <row r="124" spans="1:8" ht="15.5">
      <c r="A124" s="8"/>
      <c r="B124" s="9"/>
      <c r="C124" s="3"/>
      <c r="D124" s="22"/>
      <c r="E124" s="4"/>
      <c r="F124" s="4"/>
      <c r="G124" s="5"/>
      <c r="H124" s="5"/>
    </row>
    <row r="125" spans="1:8" ht="15.5">
      <c r="A125" s="8"/>
      <c r="B125" s="9"/>
      <c r="C125" s="3"/>
      <c r="D125" s="22"/>
      <c r="E125" s="4"/>
      <c r="F125" s="4"/>
      <c r="G125" s="5"/>
      <c r="H125" s="5"/>
    </row>
    <row r="126" spans="1:8" ht="15.5">
      <c r="A126" s="8"/>
      <c r="B126" s="9"/>
      <c r="C126" s="3"/>
      <c r="D126" s="22"/>
      <c r="E126" s="4"/>
      <c r="F126" s="4"/>
      <c r="G126" s="5"/>
      <c r="H126" s="5"/>
    </row>
    <row r="127" spans="1:8" ht="15.5">
      <c r="A127" s="8"/>
      <c r="B127" s="9"/>
      <c r="C127" s="3"/>
      <c r="D127" s="22"/>
      <c r="E127" s="4"/>
      <c r="F127" s="4"/>
      <c r="G127" s="5"/>
      <c r="H127" s="5"/>
    </row>
    <row r="128" spans="1:8" ht="15.5">
      <c r="A128" s="8"/>
      <c r="B128" s="9"/>
      <c r="C128" s="3"/>
      <c r="D128" s="22"/>
      <c r="E128" s="4"/>
      <c r="F128" s="4"/>
      <c r="G128" s="5"/>
      <c r="H128" s="5"/>
    </row>
    <row r="129" spans="1:8" ht="15.5">
      <c r="A129" s="8"/>
      <c r="B129" s="9"/>
      <c r="C129" s="3"/>
      <c r="D129" s="22"/>
      <c r="E129" s="4"/>
      <c r="F129" s="4"/>
      <c r="G129" s="5"/>
      <c r="H129" s="5"/>
    </row>
    <row r="130" spans="1:8" ht="15.5">
      <c r="A130" s="8"/>
      <c r="B130" s="9"/>
      <c r="C130" s="3"/>
      <c r="D130" s="22"/>
      <c r="E130" s="4"/>
      <c r="F130" s="4"/>
      <c r="G130" s="5"/>
      <c r="H130" s="5"/>
    </row>
    <row r="131" spans="1:8" ht="15.5">
      <c r="A131" s="8"/>
      <c r="B131" s="9"/>
      <c r="C131" s="3"/>
      <c r="D131" s="22"/>
      <c r="E131" s="4"/>
      <c r="F131" s="4"/>
      <c r="G131" s="5"/>
      <c r="H131" s="5"/>
    </row>
    <row r="132" spans="1:8" ht="15.5">
      <c r="A132" s="8"/>
      <c r="B132" s="9"/>
      <c r="C132" s="3"/>
      <c r="D132" s="22"/>
      <c r="E132" s="4"/>
      <c r="F132" s="4"/>
      <c r="G132" s="5"/>
      <c r="H132" s="5"/>
    </row>
    <row r="133" spans="1:8" ht="15.5">
      <c r="A133" s="13"/>
      <c r="B133" s="12"/>
      <c r="C133" s="14"/>
      <c r="D133" s="22"/>
      <c r="E133" s="4"/>
      <c r="F133" s="4"/>
      <c r="G133" s="5"/>
      <c r="H133" s="5"/>
    </row>
    <row r="134" spans="1:8" ht="15.5">
      <c r="A134" s="13"/>
      <c r="B134" s="12"/>
      <c r="C134" s="14"/>
      <c r="D134" s="22"/>
      <c r="E134" s="4"/>
      <c r="F134" s="4"/>
      <c r="G134" s="5"/>
      <c r="H134" s="5"/>
    </row>
    <row r="135" spans="1:8" ht="15.5">
      <c r="A135" s="8"/>
      <c r="B135" s="9"/>
      <c r="C135" s="3"/>
      <c r="D135" s="22"/>
      <c r="E135" s="4"/>
      <c r="F135" s="4"/>
      <c r="G135" s="5"/>
      <c r="H135" s="5"/>
    </row>
    <row r="136" spans="1:8" ht="15.5">
      <c r="A136" s="13"/>
      <c r="C136" s="16"/>
      <c r="D136" s="22"/>
      <c r="E136" s="4"/>
      <c r="F136" s="4"/>
      <c r="G136" s="5"/>
      <c r="H136" s="5"/>
    </row>
    <row r="137" spans="1:8" ht="15.5">
      <c r="A137" s="13"/>
      <c r="B137" s="12"/>
      <c r="C137" s="14"/>
      <c r="D137" s="22"/>
      <c r="E137" s="4"/>
      <c r="F137" s="4"/>
      <c r="G137" s="5"/>
      <c r="H137" s="5"/>
    </row>
    <row r="138" spans="1:8" ht="15.5">
      <c r="A138" s="13"/>
      <c r="B138" s="12"/>
      <c r="C138" s="14"/>
      <c r="D138" s="22"/>
      <c r="E138" s="4"/>
      <c r="F138" s="4"/>
      <c r="G138" s="5"/>
      <c r="H138" s="5"/>
    </row>
    <row r="139" spans="1:8" ht="15.5">
      <c r="A139" s="13"/>
      <c r="B139" s="12"/>
      <c r="C139" s="14"/>
      <c r="D139" s="22"/>
      <c r="E139" s="4"/>
      <c r="F139" s="4"/>
      <c r="G139" s="5"/>
      <c r="H139" s="5"/>
    </row>
    <row r="140" spans="1:8" ht="15.5">
      <c r="A140" s="8"/>
      <c r="B140" s="12"/>
      <c r="C140" s="14"/>
      <c r="D140" s="22"/>
      <c r="E140" s="4"/>
      <c r="F140" s="4"/>
      <c r="G140" s="5"/>
      <c r="H140" s="5"/>
    </row>
    <row r="141" spans="1:8" ht="15.5">
      <c r="A141" s="8"/>
      <c r="B141" s="9"/>
      <c r="C141" s="3"/>
      <c r="D141" s="22"/>
      <c r="E141" s="4"/>
      <c r="F141" s="4"/>
      <c r="G141" s="5"/>
      <c r="H141" s="5"/>
    </row>
    <row r="142" spans="1:8" ht="15.5">
      <c r="A142" s="8"/>
      <c r="B142" s="9"/>
      <c r="C142" s="3"/>
      <c r="D142" s="22"/>
      <c r="E142" s="4"/>
      <c r="F142" s="4"/>
      <c r="G142" s="5"/>
      <c r="H142" s="5"/>
    </row>
    <row r="143" spans="1:8" ht="15.5">
      <c r="A143" s="8"/>
      <c r="B143" s="9"/>
      <c r="C143" s="3"/>
      <c r="D143" s="22"/>
      <c r="E143" s="4"/>
      <c r="F143" s="4"/>
      <c r="G143" s="5"/>
      <c r="H143" s="5"/>
    </row>
    <row r="144" spans="1:8" ht="15.5">
      <c r="A144" s="8"/>
      <c r="B144" s="9"/>
      <c r="C144" s="3"/>
      <c r="D144" s="22"/>
      <c r="E144" s="4"/>
      <c r="F144" s="4"/>
      <c r="G144" s="5"/>
      <c r="H144" s="5"/>
    </row>
    <row r="145" spans="1:8" ht="15.5">
      <c r="A145" s="8"/>
      <c r="B145" s="9"/>
      <c r="C145" s="3"/>
      <c r="D145" s="22"/>
      <c r="E145" s="4"/>
      <c r="F145" s="4"/>
      <c r="G145" s="5"/>
      <c r="H145" s="5"/>
    </row>
    <row r="146" spans="1:8" ht="15.5">
      <c r="A146" s="8"/>
      <c r="B146" s="9"/>
      <c r="C146" s="3"/>
      <c r="D146" s="22"/>
      <c r="E146" s="4"/>
      <c r="F146" s="4"/>
      <c r="G146" s="5"/>
      <c r="H146" s="5"/>
    </row>
    <row r="147" spans="1:8" ht="15.5">
      <c r="A147" s="8"/>
      <c r="C147" s="18"/>
      <c r="D147" s="22"/>
      <c r="E147" s="4"/>
      <c r="F147" s="4"/>
      <c r="G147" s="5"/>
      <c r="H147" s="5"/>
    </row>
    <row r="148" spans="1:8" ht="15.5">
      <c r="A148" s="8"/>
      <c r="B148" s="9"/>
      <c r="C148" s="3"/>
      <c r="D148" s="22"/>
      <c r="E148" s="4"/>
      <c r="F148" s="4"/>
      <c r="G148" s="5"/>
      <c r="H148" s="5"/>
    </row>
    <row r="149" spans="1:8" ht="15.5">
      <c r="A149" s="8"/>
      <c r="B149" s="9"/>
      <c r="C149" s="3"/>
      <c r="D149" s="22"/>
      <c r="E149" s="4"/>
      <c r="F149" s="4"/>
      <c r="G149" s="5"/>
      <c r="H149" s="5"/>
    </row>
    <row r="150" spans="1:8" ht="15.5">
      <c r="A150" s="8"/>
      <c r="B150" s="9"/>
      <c r="C150" s="3"/>
      <c r="D150" s="22"/>
      <c r="E150" s="4"/>
      <c r="F150" s="4"/>
      <c r="G150" s="5"/>
      <c r="H150" s="5"/>
    </row>
    <row r="151" spans="1:8" ht="15.5">
      <c r="A151" s="8"/>
      <c r="B151" s="9"/>
      <c r="C151" s="3"/>
      <c r="D151" s="22"/>
      <c r="E151" s="4"/>
      <c r="F151" s="4"/>
      <c r="G151" s="5"/>
      <c r="H151" s="5"/>
    </row>
    <row r="152" spans="1:8" ht="15.5">
      <c r="A152" s="8"/>
      <c r="B152" s="9"/>
      <c r="C152" s="3"/>
      <c r="D152" s="22"/>
      <c r="E152" s="4"/>
      <c r="F152" s="4"/>
      <c r="G152" s="5"/>
      <c r="H152" s="5"/>
    </row>
    <row r="153" spans="1:8" ht="15.5">
      <c r="A153" s="8"/>
      <c r="B153" s="9"/>
      <c r="C153" s="3"/>
      <c r="D153" s="22"/>
      <c r="E153" s="4"/>
      <c r="F153" s="4"/>
      <c r="G153" s="5"/>
      <c r="H153" s="5"/>
    </row>
    <row r="154" spans="1:8" ht="15.5">
      <c r="A154" s="8"/>
      <c r="B154" s="9"/>
      <c r="C154" s="3"/>
      <c r="D154" s="22"/>
      <c r="E154" s="4"/>
      <c r="F154" s="4"/>
      <c r="G154" s="5"/>
      <c r="H154" s="5"/>
    </row>
    <row r="155" spans="1:8" ht="15.5">
      <c r="A155" s="8"/>
      <c r="B155" s="9"/>
      <c r="C155" s="3"/>
      <c r="D155" s="22"/>
      <c r="E155" s="4"/>
      <c r="F155" s="4"/>
      <c r="G155" s="5"/>
      <c r="H155" s="5"/>
    </row>
    <row r="156" spans="1:8" ht="15.5">
      <c r="A156" s="8"/>
      <c r="B156" s="9"/>
      <c r="C156" s="3"/>
      <c r="D156" s="22"/>
      <c r="E156" s="4"/>
      <c r="F156" s="4"/>
      <c r="G156" s="5"/>
      <c r="H156" s="5"/>
    </row>
    <row r="157" spans="1:8" ht="15.5">
      <c r="A157" s="8"/>
      <c r="B157" s="9"/>
      <c r="C157" s="3"/>
      <c r="D157" s="22"/>
      <c r="E157" s="4"/>
      <c r="F157" s="4"/>
      <c r="G157" s="5"/>
      <c r="H157" s="5"/>
    </row>
    <row r="158" spans="1:8" ht="15.5">
      <c r="A158" s="8"/>
      <c r="B158" s="9"/>
      <c r="C158" s="3"/>
      <c r="D158" s="22"/>
      <c r="E158" s="4"/>
      <c r="F158" s="4"/>
      <c r="G158" s="5"/>
      <c r="H158" s="5"/>
    </row>
    <row r="159" spans="1:8" ht="15.5">
      <c r="A159" s="8"/>
      <c r="B159" s="9"/>
      <c r="C159" s="3"/>
      <c r="D159" s="22"/>
      <c r="E159" s="4"/>
      <c r="F159" s="4"/>
      <c r="G159" s="5"/>
      <c r="H159" s="5"/>
    </row>
    <row r="160" spans="1:8" ht="15.5">
      <c r="A160" s="8"/>
      <c r="B160" s="9"/>
      <c r="C160" s="3"/>
      <c r="D160" s="22"/>
      <c r="E160" s="4"/>
      <c r="F160" s="4"/>
      <c r="G160" s="5"/>
      <c r="H160" s="5"/>
    </row>
    <row r="161" spans="1:8" ht="15.5">
      <c r="A161" s="8"/>
      <c r="B161" s="9"/>
      <c r="C161" s="3"/>
      <c r="D161" s="22"/>
      <c r="E161" s="17"/>
      <c r="F161" s="4"/>
      <c r="G161" s="5"/>
      <c r="H161" s="5"/>
    </row>
    <row r="162" spans="1:8" ht="15.5">
      <c r="A162" s="13"/>
      <c r="B162" s="12"/>
      <c r="C162" s="3"/>
      <c r="D162" s="22"/>
    </row>
    <row r="163" spans="1:8" ht="15.5">
      <c r="A163" s="8"/>
      <c r="B163" s="9"/>
      <c r="C163" s="3"/>
      <c r="D163" s="22"/>
      <c r="G163" s="2">
        <v>250</v>
      </c>
      <c r="H163" s="11">
        <f>+F163*G163</f>
        <v>0</v>
      </c>
    </row>
    <row r="164" spans="1:8" ht="15.5">
      <c r="A164" s="8"/>
      <c r="B164" s="9"/>
      <c r="C164" s="3"/>
      <c r="D164" s="22"/>
      <c r="G164" s="2">
        <v>250</v>
      </c>
      <c r="H164" s="11">
        <f>+F164*G164</f>
        <v>0</v>
      </c>
    </row>
    <row r="165" spans="1:8" ht="15.5">
      <c r="A165" s="8"/>
      <c r="B165" s="9"/>
      <c r="C165" s="3"/>
      <c r="D165" s="22"/>
    </row>
    <row r="166" spans="1:8" ht="15.5">
      <c r="A166" s="8"/>
      <c r="B166" s="9"/>
      <c r="C166" s="3"/>
      <c r="D166" s="22"/>
    </row>
    <row r="167" spans="1:8" ht="15.5">
      <c r="A167" s="8"/>
      <c r="B167" s="9"/>
      <c r="C167" s="3"/>
      <c r="D167" s="22"/>
    </row>
    <row r="168" spans="1:8" ht="15.5">
      <c r="A168" s="23"/>
      <c r="B168" s="5"/>
      <c r="C168" s="18"/>
      <c r="D168" s="22"/>
    </row>
    <row r="169" spans="1:8" ht="15.5">
      <c r="A169" s="8"/>
      <c r="B169" s="9"/>
      <c r="C169" s="3"/>
      <c r="D169" s="22"/>
      <c r="H169">
        <v>15000</v>
      </c>
    </row>
    <row r="170" spans="1:8" ht="15.5">
      <c r="A170" s="8"/>
      <c r="B170" s="9"/>
      <c r="C170" s="3"/>
      <c r="D170" s="22"/>
    </row>
    <row r="171" spans="1:8" ht="15.5">
      <c r="A171" s="23"/>
      <c r="B171" s="5"/>
      <c r="C171" s="18"/>
      <c r="D171" s="22"/>
    </row>
    <row r="172" spans="1:8" ht="15.5">
      <c r="A172" s="13"/>
      <c r="B172" s="12"/>
      <c r="C172" s="3"/>
      <c r="D172" s="22"/>
    </row>
    <row r="173" spans="1:8" ht="15.5">
      <c r="A173" s="8"/>
      <c r="B173" s="9"/>
      <c r="C173" s="3"/>
      <c r="D173" s="22"/>
    </row>
    <row r="174" spans="1:8" ht="15.5">
      <c r="A174" s="8"/>
      <c r="B174" s="9"/>
      <c r="C174" s="3"/>
      <c r="D174" s="22"/>
    </row>
    <row r="175" spans="1:8" ht="15.5">
      <c r="A175" s="8"/>
      <c r="B175" s="9"/>
      <c r="C175" s="3"/>
      <c r="D175" s="22"/>
    </row>
    <row r="176" spans="1:8" ht="15.5">
      <c r="A176" s="8"/>
      <c r="B176" s="9"/>
      <c r="C176" s="3"/>
      <c r="D176" s="22"/>
    </row>
    <row r="177" spans="1:8" ht="15.5">
      <c r="A177" s="8"/>
      <c r="B177" s="9"/>
      <c r="C177" s="3"/>
      <c r="D177" s="22"/>
    </row>
    <row r="178" spans="1:8" ht="15.5">
      <c r="A178" s="8"/>
      <c r="B178" s="9"/>
      <c r="C178" s="3"/>
      <c r="D178" s="22"/>
      <c r="F178">
        <v>325000</v>
      </c>
      <c r="G178" s="24">
        <v>3.4200000000000001E-2</v>
      </c>
      <c r="H178" s="11">
        <f>+F178*G178</f>
        <v>11115</v>
      </c>
    </row>
    <row r="179" spans="1:8" ht="15.5">
      <c r="A179" s="8"/>
      <c r="B179" s="9"/>
      <c r="C179" s="3"/>
      <c r="D179" s="22"/>
      <c r="F179">
        <v>1325000</v>
      </c>
      <c r="G179" s="25">
        <v>3.4200000000000001E-2</v>
      </c>
      <c r="H179" s="11">
        <f>+F179*G179</f>
        <v>45315</v>
      </c>
    </row>
    <row r="180" spans="1:8" ht="15.5">
      <c r="A180" s="8"/>
      <c r="B180" s="9"/>
      <c r="C180" s="3"/>
      <c r="D180" s="22"/>
    </row>
    <row r="181" spans="1:8" ht="15.5">
      <c r="A181" s="8"/>
      <c r="B181" s="9"/>
      <c r="C181" s="3"/>
      <c r="D181" s="22"/>
    </row>
    <row r="182" spans="1:8" ht="15.5">
      <c r="A182" s="8"/>
      <c r="B182" s="9"/>
      <c r="C182" s="3"/>
      <c r="D182" s="10"/>
      <c r="F182">
        <f>250*5300</f>
        <v>1325000</v>
      </c>
      <c r="H182">
        <f>SUM(H169:H181)</f>
        <v>71430</v>
      </c>
    </row>
    <row r="183" spans="1:8" ht="15.5">
      <c r="A183" s="8"/>
      <c r="B183" s="9"/>
      <c r="C183" s="3"/>
    </row>
    <row r="184" spans="1:8" ht="15.5">
      <c r="A184" s="8"/>
      <c r="B184" s="9"/>
      <c r="C184" s="3"/>
    </row>
    <row r="185" spans="1:8" ht="15.5">
      <c r="A185" s="8"/>
      <c r="B185" s="9"/>
      <c r="C185" s="3"/>
    </row>
    <row r="186" spans="1:8" ht="15.5">
      <c r="A186" s="8"/>
      <c r="B186" s="9"/>
      <c r="C186" s="3"/>
    </row>
    <row r="187" spans="1:8" ht="15.5">
      <c r="A187" s="8"/>
      <c r="B187" s="9"/>
      <c r="C187" s="3"/>
    </row>
    <row r="188" spans="1:8" ht="15.5">
      <c r="A188" s="8"/>
      <c r="B188" s="9"/>
      <c r="C188" s="3"/>
    </row>
    <row r="189" spans="1:8" ht="15.5">
      <c r="A189" s="8"/>
      <c r="B189" s="9"/>
      <c r="C189" s="3"/>
    </row>
    <row r="190" spans="1:8" ht="15.5">
      <c r="A190" s="8"/>
      <c r="B190" s="9"/>
      <c r="C190" s="3"/>
    </row>
    <row r="191" spans="1:8" ht="15.5">
      <c r="A191" s="8"/>
      <c r="B191" s="9"/>
      <c r="C191" s="3"/>
    </row>
    <row r="192" spans="1:8" ht="15.5">
      <c r="A192" s="8"/>
      <c r="B192" s="9"/>
      <c r="C192" s="3"/>
    </row>
    <row r="193" spans="1:3" ht="15.5">
      <c r="A193" s="8"/>
      <c r="B193" s="9"/>
      <c r="C193" s="3"/>
    </row>
    <row r="194" spans="1:3" ht="15.5">
      <c r="A194" s="8"/>
      <c r="B194" s="9"/>
      <c r="C194" s="3"/>
    </row>
    <row r="195" spans="1:3" ht="15.5">
      <c r="A195" s="8"/>
      <c r="B195" s="12"/>
      <c r="C195" s="14"/>
    </row>
    <row r="196" spans="1:3">
      <c r="A196" s="13"/>
      <c r="C196" s="16"/>
    </row>
    <row r="197" spans="1:3">
      <c r="A197" s="13"/>
      <c r="B197" s="12"/>
      <c r="C197" s="14"/>
    </row>
    <row r="198" spans="1:3">
      <c r="A198" s="13"/>
      <c r="B198" s="12"/>
      <c r="C198" s="14"/>
    </row>
    <row r="199" spans="1:3">
      <c r="A199" s="13"/>
      <c r="B199" s="12"/>
      <c r="C199" s="14"/>
    </row>
    <row r="200" spans="1:3">
      <c r="A200" s="13"/>
      <c r="B200" s="12"/>
      <c r="C200" s="14"/>
    </row>
    <row r="201" spans="1:3">
      <c r="A201" s="13"/>
      <c r="B201" s="12"/>
      <c r="C201" s="14"/>
    </row>
    <row r="202" spans="1:3" ht="15.5">
      <c r="A202" s="8"/>
      <c r="B202" s="9"/>
      <c r="C202" s="3"/>
    </row>
    <row r="203" spans="1:3" ht="15.5">
      <c r="A203" s="8"/>
      <c r="B203" s="9"/>
      <c r="C203" s="3"/>
    </row>
    <row r="204" spans="1:3" ht="15.5">
      <c r="A204" s="8"/>
      <c r="B204" s="9"/>
      <c r="C204" s="3"/>
    </row>
    <row r="205" spans="1:3" ht="15.5">
      <c r="A205" s="8"/>
      <c r="B205" s="9"/>
      <c r="C205" s="3"/>
    </row>
  </sheetData>
  <mergeCells count="2">
    <mergeCell ref="A1:C1"/>
    <mergeCell ref="G2:H2"/>
  </mergeCells>
  <pageMargins left="0.7" right="0.7" top="0.75" bottom="0.75" header="0.511811023622047" footer="0.511811023622047"/>
  <pageSetup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8"/>
  <sheetViews>
    <sheetView zoomScaleNormal="100" workbookViewId="0">
      <pane ySplit="2" topLeftCell="A65" activePane="bottomLeft" state="frozen"/>
      <selection pane="bottomLeft" activeCell="C80" sqref="C80"/>
    </sheetView>
  </sheetViews>
  <sheetFormatPr baseColWidth="10" defaultColWidth="11.453125" defaultRowHeight="14.5"/>
  <cols>
    <col min="2" max="3" width="16.453125" customWidth="1"/>
    <col min="4" max="4" width="16.453125" style="36" customWidth="1"/>
    <col min="5" max="5" width="18.26953125" style="37" customWidth="1"/>
    <col min="6" max="6" width="29.54296875" customWidth="1"/>
    <col min="7" max="7" width="15.1796875" customWidth="1"/>
    <col min="8" max="8" width="11.7265625" customWidth="1"/>
  </cols>
  <sheetData>
    <row r="1" spans="1:8">
      <c r="A1" s="214" t="s">
        <v>129</v>
      </c>
      <c r="B1" s="214"/>
      <c r="C1" s="214"/>
      <c r="D1" s="214"/>
      <c r="E1" s="214"/>
      <c r="F1" s="214"/>
      <c r="G1" s="214"/>
    </row>
    <row r="2" spans="1:8">
      <c r="A2" s="38" t="s">
        <v>130</v>
      </c>
      <c r="B2" s="38" t="s">
        <v>131</v>
      </c>
      <c r="C2" s="38" t="s">
        <v>132</v>
      </c>
      <c r="D2" s="39" t="s">
        <v>133</v>
      </c>
      <c r="E2" s="40" t="s">
        <v>134</v>
      </c>
      <c r="F2" s="38" t="s">
        <v>135</v>
      </c>
      <c r="G2" s="38" t="s">
        <v>136</v>
      </c>
      <c r="H2" s="41" t="s">
        <v>137</v>
      </c>
    </row>
    <row r="3" spans="1:8" ht="15.5">
      <c r="A3" s="13">
        <v>45383</v>
      </c>
      <c r="B3" s="9"/>
      <c r="C3" s="9"/>
      <c r="D3" s="42"/>
      <c r="E3" s="43"/>
      <c r="F3" s="14" t="s">
        <v>138</v>
      </c>
      <c r="G3" s="9"/>
    </row>
    <row r="4" spans="1:8" ht="15.5">
      <c r="A4" s="8">
        <v>45257</v>
      </c>
      <c r="B4" s="9">
        <v>-8500</v>
      </c>
      <c r="C4" s="14"/>
      <c r="D4" s="22"/>
      <c r="E4" s="43"/>
      <c r="F4" s="3" t="s">
        <v>54</v>
      </c>
      <c r="G4" s="9">
        <f t="shared" ref="G4:G67" si="0">+G3+B4</f>
        <v>-8500</v>
      </c>
      <c r="H4" s="11">
        <f>+B4</f>
        <v>-8500</v>
      </c>
    </row>
    <row r="5" spans="1:8" ht="15.5">
      <c r="A5" s="8">
        <v>45257</v>
      </c>
      <c r="B5" s="9">
        <v>-8500</v>
      </c>
      <c r="C5" s="14"/>
      <c r="D5" s="22"/>
      <c r="E5" s="43"/>
      <c r="F5" s="3" t="s">
        <v>55</v>
      </c>
      <c r="G5" s="9">
        <f t="shared" si="0"/>
        <v>-17000</v>
      </c>
      <c r="H5" s="11">
        <f t="shared" ref="H5:H36" si="1">+H4+B5</f>
        <v>-17000</v>
      </c>
    </row>
    <row r="6" spans="1:8" ht="15.5">
      <c r="A6" s="8">
        <v>45316</v>
      </c>
      <c r="B6" s="9">
        <v>-4755</v>
      </c>
      <c r="C6" s="3"/>
      <c r="D6" s="22"/>
      <c r="E6" s="43"/>
      <c r="F6" s="14" t="s">
        <v>139</v>
      </c>
      <c r="G6" s="9">
        <f t="shared" si="0"/>
        <v>-21755</v>
      </c>
      <c r="H6" s="11">
        <f t="shared" si="1"/>
        <v>-21755</v>
      </c>
    </row>
    <row r="7" spans="1:8" ht="15.5">
      <c r="A7" s="8">
        <v>45373</v>
      </c>
      <c r="B7" s="9">
        <f>-250*59</f>
        <v>-14750</v>
      </c>
      <c r="C7" s="14"/>
      <c r="D7" s="22"/>
      <c r="E7" s="43"/>
      <c r="F7" s="3" t="s">
        <v>140</v>
      </c>
      <c r="G7" s="9">
        <f t="shared" si="0"/>
        <v>-36505</v>
      </c>
      <c r="H7" s="11">
        <f t="shared" si="1"/>
        <v>-36505</v>
      </c>
    </row>
    <row r="8" spans="1:8" ht="15.5">
      <c r="A8" s="13">
        <v>45383</v>
      </c>
      <c r="B8" s="9">
        <v>-1200</v>
      </c>
      <c r="C8" s="9"/>
      <c r="D8" s="42"/>
      <c r="E8" s="43"/>
      <c r="F8" s="14" t="s">
        <v>141</v>
      </c>
      <c r="G8" s="9">
        <f t="shared" si="0"/>
        <v>-37705</v>
      </c>
      <c r="H8" s="11">
        <f t="shared" si="1"/>
        <v>-37705</v>
      </c>
    </row>
    <row r="9" spans="1:8" ht="15.5">
      <c r="A9" s="13">
        <v>45383</v>
      </c>
      <c r="B9" s="9">
        <f>-4755*2</f>
        <v>-9510</v>
      </c>
      <c r="C9" s="9"/>
      <c r="D9" s="42"/>
      <c r="E9" s="43"/>
      <c r="F9" s="14" t="s">
        <v>142</v>
      </c>
      <c r="G9" s="9">
        <f t="shared" si="0"/>
        <v>-47215</v>
      </c>
      <c r="H9" s="11">
        <f t="shared" si="1"/>
        <v>-47215</v>
      </c>
    </row>
    <row r="10" spans="1:8" ht="15.5">
      <c r="A10" s="8">
        <v>45383</v>
      </c>
      <c r="B10" s="9">
        <v>-12000</v>
      </c>
      <c r="C10" s="9"/>
      <c r="D10" s="42"/>
      <c r="E10" s="43"/>
      <c r="F10" s="14" t="s">
        <v>143</v>
      </c>
      <c r="G10" s="9">
        <f t="shared" si="0"/>
        <v>-59215</v>
      </c>
      <c r="H10" s="11">
        <f t="shared" si="1"/>
        <v>-59215</v>
      </c>
    </row>
    <row r="11" spans="1:8" ht="15.5">
      <c r="A11" s="8">
        <v>45383</v>
      </c>
      <c r="B11" s="9">
        <v>1121</v>
      </c>
      <c r="C11" s="9"/>
      <c r="D11" s="42"/>
      <c r="E11" s="43"/>
      <c r="F11" s="14" t="s">
        <v>144</v>
      </c>
      <c r="G11" s="9">
        <f t="shared" si="0"/>
        <v>-58094</v>
      </c>
      <c r="H11" s="11">
        <f t="shared" si="1"/>
        <v>-58094</v>
      </c>
    </row>
    <row r="12" spans="1:8" ht="15.5">
      <c r="A12" s="8">
        <v>45383</v>
      </c>
      <c r="B12" s="9">
        <f>-138*60</f>
        <v>-8280</v>
      </c>
      <c r="C12" s="9"/>
      <c r="D12" s="42"/>
      <c r="E12" s="43"/>
      <c r="F12" s="14" t="s">
        <v>145</v>
      </c>
      <c r="G12" s="9">
        <f t="shared" si="0"/>
        <v>-66374</v>
      </c>
      <c r="H12" s="11">
        <f t="shared" si="1"/>
        <v>-66374</v>
      </c>
    </row>
    <row r="13" spans="1:8" ht="15.5">
      <c r="A13" s="8">
        <v>45383</v>
      </c>
      <c r="B13" s="9">
        <f>-134*59</f>
        <v>-7906</v>
      </c>
      <c r="C13" s="14"/>
      <c r="D13" s="22"/>
      <c r="E13" s="43"/>
      <c r="F13" s="3" t="s">
        <v>146</v>
      </c>
      <c r="G13" s="9">
        <f t="shared" si="0"/>
        <v>-74280</v>
      </c>
      <c r="H13" s="11">
        <f t="shared" si="1"/>
        <v>-74280</v>
      </c>
    </row>
    <row r="14" spans="1:8" ht="15.5">
      <c r="A14" s="8">
        <v>45383</v>
      </c>
      <c r="B14" s="9">
        <f>-19*59</f>
        <v>-1121</v>
      </c>
      <c r="C14" s="14"/>
      <c r="D14" s="22"/>
      <c r="E14" s="43"/>
      <c r="F14" s="3" t="s">
        <v>147</v>
      </c>
      <c r="G14" s="9">
        <f t="shared" si="0"/>
        <v>-75401</v>
      </c>
      <c r="H14" s="11">
        <f t="shared" si="1"/>
        <v>-75401</v>
      </c>
    </row>
    <row r="15" spans="1:8" ht="15.5">
      <c r="A15" s="8">
        <v>45383</v>
      </c>
      <c r="B15" s="9">
        <f>-19*59</f>
        <v>-1121</v>
      </c>
      <c r="C15" s="14"/>
      <c r="D15" s="22"/>
      <c r="E15" s="43"/>
      <c r="F15" s="3" t="s">
        <v>148</v>
      </c>
      <c r="G15" s="9">
        <f t="shared" si="0"/>
        <v>-76522</v>
      </c>
      <c r="H15" s="11">
        <f t="shared" si="1"/>
        <v>-76522</v>
      </c>
    </row>
    <row r="16" spans="1:8" ht="15.5">
      <c r="A16" s="13">
        <v>45397</v>
      </c>
      <c r="B16" s="9">
        <v>-9000</v>
      </c>
      <c r="C16" s="9"/>
      <c r="D16" s="42"/>
      <c r="E16" s="43"/>
      <c r="F16" s="14" t="s">
        <v>149</v>
      </c>
      <c r="G16" s="9">
        <f t="shared" si="0"/>
        <v>-85522</v>
      </c>
      <c r="H16" s="11">
        <f t="shared" si="1"/>
        <v>-85522</v>
      </c>
    </row>
    <row r="17" spans="1:8" ht="15.5">
      <c r="A17" s="8">
        <v>45404</v>
      </c>
      <c r="B17" s="12">
        <v>-1500</v>
      </c>
      <c r="C17" s="14"/>
      <c r="D17" s="22"/>
      <c r="E17" s="43"/>
      <c r="F17" s="3" t="s">
        <v>150</v>
      </c>
      <c r="G17" s="9">
        <f t="shared" si="0"/>
        <v>-87022</v>
      </c>
      <c r="H17" s="11">
        <f t="shared" si="1"/>
        <v>-87022</v>
      </c>
    </row>
    <row r="18" spans="1:8" ht="15.5">
      <c r="A18" s="13">
        <v>45412</v>
      </c>
      <c r="B18" s="9">
        <v>-3300</v>
      </c>
      <c r="C18" s="9"/>
      <c r="D18" s="42"/>
      <c r="E18" s="43"/>
      <c r="F18" s="14" t="s">
        <v>151</v>
      </c>
      <c r="G18" s="9">
        <f t="shared" si="0"/>
        <v>-90322</v>
      </c>
      <c r="H18" s="11">
        <f t="shared" si="1"/>
        <v>-90322</v>
      </c>
    </row>
    <row r="19" spans="1:8" ht="15.5">
      <c r="A19" s="44">
        <v>45413</v>
      </c>
      <c r="B19" s="45">
        <v>-7500</v>
      </c>
      <c r="C19" s="45"/>
      <c r="D19" s="46"/>
      <c r="E19" s="47"/>
      <c r="F19" s="48" t="s">
        <v>151</v>
      </c>
      <c r="G19" s="45">
        <f t="shared" si="0"/>
        <v>-97822</v>
      </c>
      <c r="H19" s="49">
        <f t="shared" si="1"/>
        <v>-97822</v>
      </c>
    </row>
    <row r="20" spans="1:8" ht="15.5">
      <c r="A20" s="44">
        <v>45419</v>
      </c>
      <c r="B20" s="45">
        <f>-800*60</f>
        <v>-48000</v>
      </c>
      <c r="C20" s="45"/>
      <c r="D20" s="46"/>
      <c r="E20" s="47"/>
      <c r="F20" s="48" t="s">
        <v>152</v>
      </c>
      <c r="G20" s="45">
        <f t="shared" si="0"/>
        <v>-145822</v>
      </c>
      <c r="H20" s="49">
        <f t="shared" si="1"/>
        <v>-145822</v>
      </c>
    </row>
    <row r="21" spans="1:8" ht="15.5">
      <c r="A21" s="44">
        <v>45423</v>
      </c>
      <c r="B21" s="45">
        <v>-1711</v>
      </c>
      <c r="C21" s="45"/>
      <c r="D21" s="46"/>
      <c r="E21" s="47"/>
      <c r="F21" s="48" t="s">
        <v>153</v>
      </c>
      <c r="G21" s="45">
        <f t="shared" si="0"/>
        <v>-147533</v>
      </c>
      <c r="H21" s="49">
        <f t="shared" si="1"/>
        <v>-147533</v>
      </c>
    </row>
    <row r="22" spans="1:8" ht="15.5">
      <c r="A22" s="44">
        <v>45425</v>
      </c>
      <c r="B22" s="45">
        <v>-3300</v>
      </c>
      <c r="C22" s="45"/>
      <c r="D22" s="46"/>
      <c r="E22" s="47"/>
      <c r="F22" s="48" t="s">
        <v>154</v>
      </c>
      <c r="G22" s="45">
        <f t="shared" si="0"/>
        <v>-150833</v>
      </c>
      <c r="H22" s="49">
        <f t="shared" si="1"/>
        <v>-150833</v>
      </c>
    </row>
    <row r="23" spans="1:8" ht="15.5">
      <c r="A23" s="50">
        <v>45427</v>
      </c>
      <c r="B23" s="45">
        <v>-10000</v>
      </c>
      <c r="C23" s="45"/>
      <c r="D23" s="46"/>
      <c r="E23" s="47"/>
      <c r="F23" s="48" t="s">
        <v>155</v>
      </c>
      <c r="G23" s="45">
        <f t="shared" si="0"/>
        <v>-160833</v>
      </c>
      <c r="H23" s="49">
        <f t="shared" si="1"/>
        <v>-160833</v>
      </c>
    </row>
    <row r="24" spans="1:8" ht="15.5">
      <c r="A24" s="50">
        <v>45434</v>
      </c>
      <c r="B24" s="45">
        <f>-55*60</f>
        <v>-3300</v>
      </c>
      <c r="C24" s="48"/>
      <c r="D24" s="51"/>
      <c r="E24" s="47"/>
      <c r="F24" s="52" t="s">
        <v>156</v>
      </c>
      <c r="G24" s="45">
        <f t="shared" si="0"/>
        <v>-164133</v>
      </c>
      <c r="H24" s="49">
        <f t="shared" si="1"/>
        <v>-164133</v>
      </c>
    </row>
    <row r="25" spans="1:8" ht="15.5">
      <c r="A25" s="44">
        <v>45436</v>
      </c>
      <c r="B25" s="45">
        <v>-5029</v>
      </c>
      <c r="C25" s="45">
        <v>767.14</v>
      </c>
      <c r="D25" s="46">
        <v>130993793</v>
      </c>
      <c r="E25" s="47" t="s">
        <v>157</v>
      </c>
      <c r="F25" s="48" t="s">
        <v>19</v>
      </c>
      <c r="G25" s="45">
        <f t="shared" si="0"/>
        <v>-169162</v>
      </c>
      <c r="H25" s="49">
        <f t="shared" si="1"/>
        <v>-169162</v>
      </c>
    </row>
    <row r="26" spans="1:8" ht="15.5">
      <c r="A26" s="44">
        <v>45440</v>
      </c>
      <c r="B26" s="45">
        <v>-4290</v>
      </c>
      <c r="C26" s="45"/>
      <c r="D26" s="46"/>
      <c r="E26" s="47"/>
      <c r="F26" s="48" t="s">
        <v>158</v>
      </c>
      <c r="G26" s="45">
        <f t="shared" si="0"/>
        <v>-173452</v>
      </c>
      <c r="H26" s="49">
        <f t="shared" si="1"/>
        <v>-173452</v>
      </c>
    </row>
    <row r="27" spans="1:8" ht="15.5">
      <c r="A27" s="50">
        <v>45442</v>
      </c>
      <c r="B27" s="53">
        <v>-10000</v>
      </c>
      <c r="C27" s="48"/>
      <c r="D27" s="51"/>
      <c r="E27" s="47"/>
      <c r="F27" s="52" t="s">
        <v>159</v>
      </c>
      <c r="G27" s="45">
        <f t="shared" si="0"/>
        <v>-183452</v>
      </c>
      <c r="H27" s="49">
        <f t="shared" si="1"/>
        <v>-183452</v>
      </c>
    </row>
    <row r="28" spans="1:8" ht="15.5">
      <c r="A28" s="13">
        <v>45448</v>
      </c>
      <c r="B28" s="12"/>
      <c r="C28" s="14">
        <v>949.43</v>
      </c>
      <c r="D28" s="54">
        <v>101013834</v>
      </c>
      <c r="E28" s="43" t="s">
        <v>160</v>
      </c>
      <c r="F28" s="14" t="s">
        <v>161</v>
      </c>
      <c r="G28" s="45">
        <f t="shared" si="0"/>
        <v>-183452</v>
      </c>
      <c r="H28" s="49">
        <f t="shared" si="1"/>
        <v>-183452</v>
      </c>
    </row>
    <row r="29" spans="1:8" ht="15.5">
      <c r="A29" s="13">
        <v>45453</v>
      </c>
      <c r="B29" s="12"/>
      <c r="C29" s="14">
        <v>866.37</v>
      </c>
      <c r="D29" s="54">
        <v>101796822</v>
      </c>
      <c r="E29" s="43" t="s">
        <v>162</v>
      </c>
      <c r="F29" s="14" t="s">
        <v>163</v>
      </c>
      <c r="G29" s="45">
        <f t="shared" si="0"/>
        <v>-183452</v>
      </c>
      <c r="H29" s="49">
        <f t="shared" si="1"/>
        <v>-183452</v>
      </c>
    </row>
    <row r="30" spans="1:8" ht="15.5">
      <c r="A30" s="13">
        <v>45457</v>
      </c>
      <c r="B30" s="12">
        <v>-8450</v>
      </c>
      <c r="C30" s="14"/>
      <c r="D30" s="54"/>
      <c r="E30" s="43"/>
      <c r="F30" s="14" t="s">
        <v>164</v>
      </c>
      <c r="G30" s="45">
        <f t="shared" si="0"/>
        <v>-191902</v>
      </c>
      <c r="H30" s="49">
        <f t="shared" si="1"/>
        <v>-191902</v>
      </c>
    </row>
    <row r="31" spans="1:8" ht="15.5">
      <c r="A31" s="8">
        <v>45457</v>
      </c>
      <c r="B31" s="12"/>
      <c r="C31" s="3">
        <v>984.65</v>
      </c>
      <c r="D31" s="54">
        <v>101532483</v>
      </c>
      <c r="E31" s="43" t="s">
        <v>165</v>
      </c>
      <c r="F31" s="14" t="s">
        <v>166</v>
      </c>
      <c r="G31" s="45">
        <f t="shared" si="0"/>
        <v>-191902</v>
      </c>
      <c r="H31" s="49">
        <f t="shared" si="1"/>
        <v>-191902</v>
      </c>
    </row>
    <row r="32" spans="1:8" ht="15.5">
      <c r="A32" s="8">
        <v>45458</v>
      </c>
      <c r="B32" s="12">
        <v>-8450</v>
      </c>
      <c r="C32" s="14"/>
      <c r="D32" s="54"/>
      <c r="E32" s="43"/>
      <c r="F32" s="3" t="s">
        <v>164</v>
      </c>
      <c r="G32" s="45">
        <f t="shared" si="0"/>
        <v>-200352</v>
      </c>
      <c r="H32" s="49">
        <f t="shared" si="1"/>
        <v>-200352</v>
      </c>
    </row>
    <row r="33" spans="1:8" ht="15.5">
      <c r="A33" s="8">
        <v>45459</v>
      </c>
      <c r="B33" s="12">
        <f>-25*60</f>
        <v>-1500</v>
      </c>
      <c r="C33" s="3"/>
      <c r="D33" s="22"/>
      <c r="E33" s="43"/>
      <c r="F33" s="14" t="s">
        <v>167</v>
      </c>
      <c r="G33" s="45">
        <f t="shared" si="0"/>
        <v>-201852</v>
      </c>
      <c r="H33" s="49">
        <f t="shared" si="1"/>
        <v>-201852</v>
      </c>
    </row>
    <row r="34" spans="1:8" ht="15.5">
      <c r="A34" s="8">
        <v>45459</v>
      </c>
      <c r="B34" s="12">
        <v>-1530</v>
      </c>
      <c r="C34" s="14"/>
      <c r="D34" s="54"/>
      <c r="E34" s="43"/>
      <c r="F34" s="3" t="s">
        <v>168</v>
      </c>
      <c r="G34" s="45">
        <f t="shared" si="0"/>
        <v>-203382</v>
      </c>
      <c r="H34" s="49">
        <f t="shared" si="1"/>
        <v>-203382</v>
      </c>
    </row>
    <row r="35" spans="1:8" ht="15.5">
      <c r="A35" s="13">
        <v>45463</v>
      </c>
      <c r="B35" s="12">
        <v>-4895</v>
      </c>
      <c r="C35">
        <v>749.69</v>
      </c>
      <c r="D35" s="54">
        <v>123005474</v>
      </c>
      <c r="E35" s="43" t="s">
        <v>169</v>
      </c>
      <c r="F35" s="14" t="s">
        <v>170</v>
      </c>
      <c r="G35" s="45">
        <f t="shared" si="0"/>
        <v>-208277</v>
      </c>
      <c r="H35" s="49">
        <f t="shared" si="1"/>
        <v>-208277</v>
      </c>
    </row>
    <row r="36" spans="1:8" ht="15.5">
      <c r="A36" s="13">
        <v>45463</v>
      </c>
      <c r="B36" s="12">
        <f>-70*60</f>
        <v>-4200</v>
      </c>
      <c r="D36" s="54"/>
      <c r="E36" s="43"/>
      <c r="F36" s="16" t="s">
        <v>171</v>
      </c>
      <c r="G36" s="45">
        <f t="shared" si="0"/>
        <v>-212477</v>
      </c>
      <c r="H36" s="49">
        <f t="shared" si="1"/>
        <v>-212477</v>
      </c>
    </row>
    <row r="37" spans="1:8" ht="15.5">
      <c r="A37" s="8">
        <v>45463</v>
      </c>
      <c r="B37" s="12">
        <f>-70*60</f>
        <v>-4200</v>
      </c>
      <c r="D37" s="54"/>
      <c r="E37" s="43"/>
      <c r="F37" s="3" t="s">
        <v>172</v>
      </c>
      <c r="G37" s="45">
        <f t="shared" si="0"/>
        <v>-216677</v>
      </c>
      <c r="H37" s="49">
        <f t="shared" ref="H37:H55" si="2">+H36+B37</f>
        <v>-216677</v>
      </c>
    </row>
    <row r="38" spans="1:8" ht="15.5">
      <c r="A38" s="13">
        <v>45465</v>
      </c>
      <c r="B38" s="12"/>
      <c r="C38">
        <v>389.46</v>
      </c>
      <c r="D38" s="54">
        <v>101796822</v>
      </c>
      <c r="E38" s="43" t="s">
        <v>173</v>
      </c>
      <c r="F38" s="14" t="s">
        <v>174</v>
      </c>
      <c r="G38" s="45">
        <f t="shared" si="0"/>
        <v>-216677</v>
      </c>
      <c r="H38" s="49">
        <f t="shared" si="2"/>
        <v>-216677</v>
      </c>
    </row>
    <row r="39" spans="1:8" ht="15.5">
      <c r="A39" s="20">
        <v>45469</v>
      </c>
      <c r="B39" s="11"/>
      <c r="C39">
        <v>1307.46</v>
      </c>
      <c r="D39" s="36">
        <v>101796822</v>
      </c>
      <c r="E39" s="37" t="s">
        <v>175</v>
      </c>
      <c r="F39" s="18" t="s">
        <v>174</v>
      </c>
      <c r="G39" s="45">
        <f t="shared" si="0"/>
        <v>-216677</v>
      </c>
      <c r="H39" s="49">
        <f t="shared" si="2"/>
        <v>-216677</v>
      </c>
    </row>
    <row r="40" spans="1:8" ht="15.5">
      <c r="A40" s="13">
        <v>45470</v>
      </c>
      <c r="B40" s="12">
        <v>-2760</v>
      </c>
      <c r="C40" s="14">
        <v>421.02</v>
      </c>
      <c r="D40" s="36">
        <v>132538137</v>
      </c>
      <c r="E40" s="37" t="s">
        <v>176</v>
      </c>
      <c r="F40" s="14" t="s">
        <v>177</v>
      </c>
      <c r="G40" s="45">
        <f t="shared" si="0"/>
        <v>-219437</v>
      </c>
      <c r="H40" s="49">
        <f t="shared" si="2"/>
        <v>-219437</v>
      </c>
    </row>
    <row r="41" spans="1:8" ht="15.5">
      <c r="A41" s="8">
        <v>45473</v>
      </c>
      <c r="B41" s="11">
        <v>-11500</v>
      </c>
      <c r="C41" s="14"/>
      <c r="D41" s="54"/>
      <c r="E41" s="43"/>
      <c r="F41" s="3" t="s">
        <v>178</v>
      </c>
      <c r="G41" s="45">
        <f t="shared" si="0"/>
        <v>-230937</v>
      </c>
      <c r="H41" s="49">
        <f t="shared" si="2"/>
        <v>-230937</v>
      </c>
    </row>
    <row r="42" spans="1:8" ht="15.5">
      <c r="A42" s="8">
        <v>45473</v>
      </c>
      <c r="B42" s="12">
        <v>-14600</v>
      </c>
      <c r="C42" s="3"/>
      <c r="D42" s="22"/>
      <c r="E42" s="43"/>
      <c r="F42" s="14" t="s">
        <v>164</v>
      </c>
      <c r="G42" s="45">
        <f t="shared" si="0"/>
        <v>-245537</v>
      </c>
      <c r="H42" s="49">
        <f t="shared" si="2"/>
        <v>-245537</v>
      </c>
    </row>
    <row r="43" spans="1:8" ht="15.5">
      <c r="A43" s="8">
        <v>45488</v>
      </c>
      <c r="B43" s="9">
        <v>-11500</v>
      </c>
      <c r="C43" s="3" t="s">
        <v>90</v>
      </c>
      <c r="D43" s="22"/>
      <c r="E43" s="43"/>
      <c r="F43" s="14"/>
      <c r="G43" s="45">
        <f t="shared" si="0"/>
        <v>-257037</v>
      </c>
      <c r="H43" s="49">
        <f t="shared" si="2"/>
        <v>-257037</v>
      </c>
    </row>
    <row r="44" spans="1:8" ht="15.5">
      <c r="A44" s="8">
        <v>45488</v>
      </c>
      <c r="B44" s="2">
        <v>-14630</v>
      </c>
      <c r="C44" t="s">
        <v>91</v>
      </c>
      <c r="D44" s="22"/>
      <c r="E44" s="43"/>
      <c r="F44" s="14"/>
      <c r="G44" s="45">
        <f t="shared" si="0"/>
        <v>-271667</v>
      </c>
      <c r="H44" s="49">
        <f t="shared" si="2"/>
        <v>-271667</v>
      </c>
    </row>
    <row r="45" spans="1:8" ht="15.5">
      <c r="A45" s="8">
        <v>45492</v>
      </c>
      <c r="B45" s="9">
        <f>-50*60</f>
        <v>-3000</v>
      </c>
      <c r="C45" s="3" t="s">
        <v>95</v>
      </c>
      <c r="D45" s="22"/>
      <c r="E45" s="43"/>
      <c r="F45" s="14"/>
      <c r="G45" s="45">
        <f t="shared" si="0"/>
        <v>-274667</v>
      </c>
      <c r="H45" s="49">
        <f t="shared" si="2"/>
        <v>-274667</v>
      </c>
    </row>
    <row r="46" spans="1:8" ht="15.5">
      <c r="A46" s="13">
        <v>45503</v>
      </c>
      <c r="B46" s="12">
        <v>-11500</v>
      </c>
      <c r="C46" s="3" t="s">
        <v>97</v>
      </c>
      <c r="D46" s="22"/>
      <c r="E46" s="43"/>
      <c r="F46" s="14"/>
      <c r="G46" s="45">
        <f t="shared" si="0"/>
        <v>-286167</v>
      </c>
      <c r="H46" s="49">
        <f t="shared" si="2"/>
        <v>-286167</v>
      </c>
    </row>
    <row r="47" spans="1:8" ht="15.5">
      <c r="A47" s="13">
        <v>45503</v>
      </c>
      <c r="B47" s="12">
        <v>-10500</v>
      </c>
      <c r="C47" s="3" t="s">
        <v>97</v>
      </c>
      <c r="D47" s="22"/>
      <c r="E47" s="43"/>
      <c r="F47" s="14"/>
      <c r="G47" s="45">
        <f t="shared" si="0"/>
        <v>-296667</v>
      </c>
      <c r="H47" s="49">
        <f t="shared" si="2"/>
        <v>-296667</v>
      </c>
    </row>
    <row r="48" spans="1:8" ht="15.5">
      <c r="A48" s="13">
        <v>45503</v>
      </c>
      <c r="B48" s="12">
        <v>-3700</v>
      </c>
      <c r="C48" s="14" t="s">
        <v>98</v>
      </c>
      <c r="D48" s="22"/>
      <c r="E48" s="43"/>
      <c r="F48" s="14"/>
      <c r="G48" s="45">
        <f t="shared" si="0"/>
        <v>-300367</v>
      </c>
      <c r="H48" s="49">
        <f t="shared" si="2"/>
        <v>-300367</v>
      </c>
    </row>
    <row r="49" spans="1:10" ht="15.5">
      <c r="A49" s="8">
        <v>45542</v>
      </c>
      <c r="B49" s="9"/>
      <c r="C49" s="3" t="s">
        <v>5</v>
      </c>
      <c r="D49" s="22"/>
      <c r="E49" s="43"/>
      <c r="F49" s="14"/>
      <c r="G49" s="45">
        <f t="shared" si="0"/>
        <v>-300367</v>
      </c>
      <c r="H49" s="49">
        <f t="shared" si="2"/>
        <v>-300367</v>
      </c>
    </row>
    <row r="50" spans="1:10" ht="15.5">
      <c r="A50" s="8">
        <v>45541</v>
      </c>
      <c r="B50" s="2">
        <v>-1500</v>
      </c>
      <c r="C50" t="s">
        <v>5</v>
      </c>
      <c r="D50" s="22"/>
      <c r="E50" s="43"/>
      <c r="F50" s="14"/>
      <c r="G50" s="45">
        <f t="shared" si="0"/>
        <v>-301867</v>
      </c>
      <c r="H50" s="49">
        <f t="shared" si="2"/>
        <v>-301867</v>
      </c>
    </row>
    <row r="51" spans="1:10" ht="15.5">
      <c r="A51" s="8">
        <v>45541</v>
      </c>
      <c r="B51" s="9">
        <v>-5000</v>
      </c>
      <c r="C51" s="3" t="s">
        <v>8</v>
      </c>
      <c r="D51" s="22"/>
      <c r="E51" s="43"/>
      <c r="F51" s="14"/>
      <c r="G51" s="45">
        <f t="shared" si="0"/>
        <v>-306867</v>
      </c>
      <c r="H51" s="49">
        <f t="shared" si="2"/>
        <v>-306867</v>
      </c>
    </row>
    <row r="52" spans="1:10" ht="15.5">
      <c r="A52" s="8">
        <v>45549</v>
      </c>
      <c r="B52" s="9">
        <f>-14000-3000-1200</f>
        <v>-18200</v>
      </c>
      <c r="C52" s="3" t="s">
        <v>10</v>
      </c>
      <c r="D52" s="22"/>
      <c r="E52" s="43"/>
      <c r="F52" s="14"/>
      <c r="G52" s="45">
        <f t="shared" si="0"/>
        <v>-325067</v>
      </c>
      <c r="H52" s="49">
        <f t="shared" si="2"/>
        <v>-325067</v>
      </c>
    </row>
    <row r="53" spans="1:10" ht="15.5">
      <c r="A53" s="8">
        <v>45551</v>
      </c>
      <c r="B53" s="9">
        <v>-3600</v>
      </c>
      <c r="C53" s="3" t="s">
        <v>10</v>
      </c>
      <c r="D53" s="22"/>
      <c r="E53" s="43"/>
      <c r="F53" s="14"/>
      <c r="G53" s="45">
        <f t="shared" si="0"/>
        <v>-328667</v>
      </c>
      <c r="H53" s="49">
        <f t="shared" si="2"/>
        <v>-328667</v>
      </c>
    </row>
    <row r="54" spans="1:10" ht="15.5">
      <c r="A54" s="8">
        <v>45549</v>
      </c>
      <c r="B54" s="9">
        <v>-11600</v>
      </c>
      <c r="C54" s="3" t="s">
        <v>12</v>
      </c>
      <c r="D54" s="22"/>
      <c r="E54" s="43"/>
      <c r="F54" s="14"/>
      <c r="G54" s="45">
        <f t="shared" si="0"/>
        <v>-340267</v>
      </c>
      <c r="H54" s="49">
        <f t="shared" si="2"/>
        <v>-340267</v>
      </c>
    </row>
    <row r="55" spans="1:10" ht="15.5">
      <c r="A55" s="8">
        <v>45547</v>
      </c>
      <c r="B55" s="12">
        <v>-10600</v>
      </c>
      <c r="C55" s="3" t="s">
        <v>14</v>
      </c>
      <c r="D55" s="22"/>
      <c r="E55" s="43"/>
      <c r="F55" s="14"/>
      <c r="G55" s="45">
        <f t="shared" si="0"/>
        <v>-350867</v>
      </c>
      <c r="H55" s="49">
        <f t="shared" si="2"/>
        <v>-350867</v>
      </c>
      <c r="J55" s="11">
        <f>SUM(B49:B55)</f>
        <v>-50500</v>
      </c>
    </row>
    <row r="56" spans="1:10" ht="15.5">
      <c r="A56" s="8">
        <v>45550</v>
      </c>
      <c r="B56" s="9">
        <v>-14700</v>
      </c>
      <c r="C56" s="3" t="s">
        <v>16</v>
      </c>
      <c r="D56" s="22"/>
      <c r="E56" s="43"/>
      <c r="F56" s="14"/>
      <c r="G56" s="45">
        <f t="shared" si="0"/>
        <v>-365567</v>
      </c>
      <c r="H56" s="49">
        <f>+H55+B65</f>
        <v>-375867</v>
      </c>
    </row>
    <row r="57" spans="1:10" ht="15.5">
      <c r="A57" s="8">
        <v>45550</v>
      </c>
      <c r="B57" s="9">
        <v>-14700</v>
      </c>
      <c r="C57" s="3" t="s">
        <v>16</v>
      </c>
      <c r="D57" s="22"/>
      <c r="E57" s="43"/>
      <c r="F57" s="14"/>
      <c r="G57" s="45">
        <f t="shared" si="0"/>
        <v>-380267</v>
      </c>
      <c r="H57" s="49">
        <f>+H56+B66</f>
        <v>-400867</v>
      </c>
    </row>
    <row r="58" spans="1:10" ht="15.5">
      <c r="A58" s="13">
        <v>45563</v>
      </c>
      <c r="B58" s="12">
        <v>-840</v>
      </c>
      <c r="C58" s="3" t="s">
        <v>20</v>
      </c>
      <c r="D58" s="22"/>
      <c r="E58" s="43"/>
      <c r="F58" s="14"/>
      <c r="G58" s="45">
        <f t="shared" si="0"/>
        <v>-381107</v>
      </c>
      <c r="H58" s="49">
        <f>+H57+B67</f>
        <v>-390867</v>
      </c>
    </row>
    <row r="59" spans="1:10" ht="15.5">
      <c r="A59" s="13">
        <v>45563</v>
      </c>
      <c r="B59" s="12">
        <v>-3000</v>
      </c>
      <c r="C59" s="14" t="s">
        <v>22</v>
      </c>
      <c r="D59" s="54"/>
      <c r="E59" s="43"/>
      <c r="F59" s="14"/>
      <c r="G59" s="45">
        <f t="shared" si="0"/>
        <v>-384107</v>
      </c>
      <c r="H59" s="49">
        <f>+H58+B68</f>
        <v>-392867</v>
      </c>
    </row>
    <row r="60" spans="1:10" ht="15.5">
      <c r="A60" s="13">
        <v>45556</v>
      </c>
      <c r="B60" s="12">
        <v>-10000</v>
      </c>
      <c r="C60" s="14" t="s">
        <v>24</v>
      </c>
      <c r="D60" s="54"/>
      <c r="E60" s="43"/>
      <c r="F60" s="14"/>
      <c r="G60" s="45">
        <f t="shared" si="0"/>
        <v>-394107</v>
      </c>
      <c r="H60" s="49">
        <f t="shared" ref="H60:H69" si="3">+H59+B60</f>
        <v>-402867</v>
      </c>
    </row>
    <row r="61" spans="1:10" ht="15.5">
      <c r="A61" s="13">
        <v>45565</v>
      </c>
      <c r="B61" s="12">
        <v>12500</v>
      </c>
      <c r="C61" s="14" t="s">
        <v>16</v>
      </c>
      <c r="D61" s="54"/>
      <c r="E61" s="43"/>
      <c r="F61" s="14"/>
      <c r="G61" s="45">
        <f t="shared" si="0"/>
        <v>-381607</v>
      </c>
      <c r="H61" s="49">
        <f t="shared" si="3"/>
        <v>-390367</v>
      </c>
    </row>
    <row r="62" spans="1:10" ht="15.5">
      <c r="A62" s="8">
        <v>45565</v>
      </c>
      <c r="B62" s="12">
        <v>12500</v>
      </c>
      <c r="C62" s="14" t="s">
        <v>16</v>
      </c>
      <c r="D62" s="54"/>
      <c r="E62" s="43"/>
      <c r="F62" s="14"/>
      <c r="G62" s="45">
        <f t="shared" si="0"/>
        <v>-369107</v>
      </c>
      <c r="H62" s="49">
        <f t="shared" si="3"/>
        <v>-377867</v>
      </c>
    </row>
    <row r="63" spans="1:10" ht="15.5">
      <c r="A63" s="8">
        <v>45564</v>
      </c>
      <c r="B63" s="12">
        <v>-60000</v>
      </c>
      <c r="C63" s="14" t="s">
        <v>26</v>
      </c>
      <c r="D63" s="54"/>
      <c r="E63" s="43"/>
      <c r="F63" s="14"/>
      <c r="G63" s="45">
        <f t="shared" si="0"/>
        <v>-429107</v>
      </c>
      <c r="H63" s="49">
        <f t="shared" si="3"/>
        <v>-437867</v>
      </c>
    </row>
    <row r="64" spans="1:10" ht="15.5">
      <c r="A64" s="8">
        <v>45546</v>
      </c>
      <c r="B64" s="9">
        <v>-20000</v>
      </c>
      <c r="C64" s="3" t="s">
        <v>28</v>
      </c>
      <c r="D64" s="54"/>
      <c r="E64" s="43"/>
      <c r="F64" s="14"/>
      <c r="G64" s="45">
        <f t="shared" si="0"/>
        <v>-449107</v>
      </c>
      <c r="H64" s="49">
        <f t="shared" si="3"/>
        <v>-457867</v>
      </c>
    </row>
    <row r="65" spans="1:8" ht="15.5">
      <c r="A65" s="20">
        <v>45580</v>
      </c>
      <c r="B65" s="55">
        <v>-25000</v>
      </c>
      <c r="C65" s="16" t="s">
        <v>16</v>
      </c>
      <c r="D65" s="54"/>
      <c r="E65" s="43"/>
      <c r="F65" s="14"/>
      <c r="G65" s="45">
        <f t="shared" si="0"/>
        <v>-474107</v>
      </c>
      <c r="H65" s="49">
        <f t="shared" si="3"/>
        <v>-482867</v>
      </c>
    </row>
    <row r="66" spans="1:8" ht="15.5">
      <c r="A66" s="20">
        <v>45582</v>
      </c>
      <c r="B66" s="55">
        <v>-25000</v>
      </c>
      <c r="C66" s="16" t="s">
        <v>179</v>
      </c>
      <c r="D66" s="54"/>
      <c r="E66" s="43"/>
      <c r="F66" s="14"/>
      <c r="G66" s="45">
        <f t="shared" si="0"/>
        <v>-499107</v>
      </c>
      <c r="H66" s="49">
        <f t="shared" si="3"/>
        <v>-507867</v>
      </c>
    </row>
    <row r="67" spans="1:8" ht="15.5">
      <c r="A67" s="20">
        <v>45588</v>
      </c>
      <c r="B67" s="55">
        <v>10000</v>
      </c>
      <c r="C67" s="16" t="s">
        <v>180</v>
      </c>
      <c r="D67" s="54"/>
      <c r="E67" s="43"/>
      <c r="F67" s="14"/>
      <c r="G67" s="45">
        <f t="shared" si="0"/>
        <v>-489107</v>
      </c>
      <c r="H67" s="49">
        <f t="shared" si="3"/>
        <v>-497867</v>
      </c>
    </row>
    <row r="68" spans="1:8" ht="15.5">
      <c r="A68" s="20">
        <v>45587</v>
      </c>
      <c r="B68" s="55">
        <v>-2000</v>
      </c>
      <c r="C68" s="16" t="s">
        <v>181</v>
      </c>
      <c r="D68" s="54"/>
      <c r="E68" s="43"/>
      <c r="F68" s="14"/>
      <c r="G68" s="45">
        <f t="shared" ref="G68:G100" si="4">+G67+B68</f>
        <v>-491107</v>
      </c>
      <c r="H68" s="49">
        <f t="shared" si="3"/>
        <v>-499867</v>
      </c>
    </row>
    <row r="69" spans="1:8" ht="15.5">
      <c r="A69" s="13">
        <v>45582</v>
      </c>
      <c r="B69" s="12">
        <f>-200*60</f>
        <v>-12000</v>
      </c>
      <c r="C69" s="14" t="s">
        <v>58</v>
      </c>
      <c r="D69" s="54"/>
      <c r="E69" s="43"/>
      <c r="F69" s="14"/>
      <c r="G69" s="45">
        <f t="shared" si="4"/>
        <v>-503107</v>
      </c>
      <c r="H69" s="49">
        <f t="shared" si="3"/>
        <v>-511867</v>
      </c>
    </row>
    <row r="70" spans="1:8" ht="15.5">
      <c r="A70" s="13">
        <v>45595</v>
      </c>
      <c r="B70" s="12">
        <v>-12500</v>
      </c>
      <c r="C70" s="14" t="s">
        <v>60</v>
      </c>
      <c r="D70" s="54"/>
      <c r="E70" s="43"/>
      <c r="F70" s="56"/>
      <c r="G70" s="45">
        <f t="shared" si="4"/>
        <v>-515607</v>
      </c>
      <c r="H70" s="49" t="e">
        <f>+H69+#REF!</f>
        <v>#REF!</v>
      </c>
    </row>
    <row r="71" spans="1:8" ht="15.5">
      <c r="A71" s="8">
        <v>45611</v>
      </c>
      <c r="B71" s="22">
        <v>-12500</v>
      </c>
      <c r="C71" s="14" t="s">
        <v>67</v>
      </c>
      <c r="D71" s="54"/>
      <c r="E71" s="43"/>
      <c r="F71" s="56"/>
      <c r="G71" s="45">
        <f t="shared" si="4"/>
        <v>-528107</v>
      </c>
      <c r="H71" s="49" t="e">
        <f>+H70+B70</f>
        <v>#REF!</v>
      </c>
    </row>
    <row r="72" spans="1:8" ht="15.5">
      <c r="A72" s="13">
        <v>45626</v>
      </c>
      <c r="B72" s="22">
        <v>-12500</v>
      </c>
      <c r="C72" s="14" t="s">
        <v>67</v>
      </c>
      <c r="D72" s="54"/>
      <c r="E72" s="43"/>
      <c r="F72" s="56"/>
      <c r="G72" s="45">
        <f t="shared" si="4"/>
        <v>-540607</v>
      </c>
      <c r="H72" s="49" t="e">
        <f>+H71+#REF!</f>
        <v>#REF!</v>
      </c>
    </row>
    <row r="73" spans="1:8" ht="15.5">
      <c r="A73" s="8">
        <v>45641</v>
      </c>
      <c r="B73" s="22">
        <v>-20100</v>
      </c>
      <c r="C73" s="14" t="s">
        <v>67</v>
      </c>
      <c r="D73" s="54"/>
      <c r="E73" s="43"/>
      <c r="F73" s="56"/>
      <c r="G73" s="45">
        <f t="shared" si="4"/>
        <v>-560707</v>
      </c>
      <c r="H73" s="49" t="e">
        <f>+H72+#REF!</f>
        <v>#REF!</v>
      </c>
    </row>
    <row r="74" spans="1:8" ht="15.5">
      <c r="A74" s="13">
        <v>45656</v>
      </c>
      <c r="B74" s="22">
        <v>-12500</v>
      </c>
      <c r="C74" s="14" t="s">
        <v>67</v>
      </c>
      <c r="D74" s="54"/>
      <c r="E74" s="43"/>
      <c r="G74" s="45">
        <f t="shared" si="4"/>
        <v>-573207</v>
      </c>
      <c r="H74" s="49" t="e">
        <f>+H73+B73</f>
        <v>#REF!</v>
      </c>
    </row>
    <row r="75" spans="1:8" ht="15.5">
      <c r="A75" s="8">
        <v>45641</v>
      </c>
      <c r="B75" s="22">
        <f>-140*60</f>
        <v>-8400</v>
      </c>
      <c r="C75" s="14" t="s">
        <v>182</v>
      </c>
      <c r="D75" s="54"/>
      <c r="E75" s="43"/>
      <c r="G75" s="45">
        <f t="shared" si="4"/>
        <v>-581607</v>
      </c>
      <c r="H75" s="49" t="e">
        <f>+H74+B74</f>
        <v>#REF!</v>
      </c>
    </row>
    <row r="76" spans="1:8" ht="15.5">
      <c r="A76" s="8">
        <v>45644</v>
      </c>
      <c r="B76" s="22">
        <f>-40*60</f>
        <v>-2400</v>
      </c>
      <c r="C76" s="3" t="s">
        <v>183</v>
      </c>
      <c r="D76" s="54"/>
      <c r="E76" s="43"/>
      <c r="G76" s="45">
        <f t="shared" si="4"/>
        <v>-584007</v>
      </c>
      <c r="H76" s="49" t="e">
        <f>+H75+B75</f>
        <v>#REF!</v>
      </c>
    </row>
    <row r="77" spans="1:8" ht="15.5">
      <c r="A77" s="13">
        <v>45636</v>
      </c>
      <c r="B77" s="22">
        <f>-80*60</f>
        <v>-4800</v>
      </c>
      <c r="C77" s="14" t="s">
        <v>184</v>
      </c>
      <c r="D77" s="22"/>
      <c r="E77" s="43"/>
      <c r="G77" s="45">
        <f t="shared" si="4"/>
        <v>-588807</v>
      </c>
      <c r="H77" s="49" t="e">
        <f>+H76+B76</f>
        <v>#REF!</v>
      </c>
    </row>
    <row r="78" spans="1:8" ht="15.5">
      <c r="A78" s="13">
        <v>45807</v>
      </c>
      <c r="B78" s="22">
        <v>208807</v>
      </c>
      <c r="C78" s="14" t="s">
        <v>873</v>
      </c>
      <c r="D78" s="54"/>
      <c r="E78" s="43"/>
      <c r="G78" s="45">
        <f t="shared" si="4"/>
        <v>-380000</v>
      </c>
      <c r="H78" s="49" t="e">
        <f>+H77+B71</f>
        <v>#REF!</v>
      </c>
    </row>
    <row r="79" spans="1:8" ht="15.5">
      <c r="A79" s="13">
        <v>45838</v>
      </c>
      <c r="B79" s="22">
        <v>80000</v>
      </c>
      <c r="C79" s="14" t="s">
        <v>873</v>
      </c>
      <c r="D79" s="54"/>
      <c r="E79" s="43"/>
      <c r="G79" s="45">
        <f t="shared" si="4"/>
        <v>-300000</v>
      </c>
      <c r="H79" s="49" t="e">
        <f>+H78+B72</f>
        <v>#REF!</v>
      </c>
    </row>
    <row r="80" spans="1:8" ht="15.5">
      <c r="A80" s="8"/>
      <c r="B80" s="22"/>
      <c r="C80" s="14"/>
      <c r="D80" s="54"/>
      <c r="E80" s="43"/>
      <c r="G80" s="45">
        <f t="shared" si="4"/>
        <v>-300000</v>
      </c>
      <c r="H80" s="49" t="e">
        <f>+H79+B80</f>
        <v>#REF!</v>
      </c>
    </row>
    <row r="81" spans="1:8" ht="15.5">
      <c r="A81" s="8"/>
      <c r="B81" s="22"/>
      <c r="C81" s="14"/>
      <c r="D81" s="54"/>
      <c r="E81" s="43"/>
      <c r="G81" s="45">
        <f t="shared" si="4"/>
        <v>-300000</v>
      </c>
      <c r="H81" s="49" t="e">
        <f>+H80+B81</f>
        <v>#REF!</v>
      </c>
    </row>
    <row r="82" spans="1:8" ht="15.5">
      <c r="A82" s="8"/>
      <c r="B82" s="22"/>
      <c r="C82" s="3"/>
      <c r="D82" s="22"/>
      <c r="E82" s="43"/>
      <c r="G82" s="45">
        <f t="shared" si="4"/>
        <v>-300000</v>
      </c>
      <c r="H82" s="49" t="e">
        <f>+H81+B82</f>
        <v>#REF!</v>
      </c>
    </row>
    <row r="83" spans="1:8" ht="15.5">
      <c r="A83" s="8"/>
      <c r="B83" s="22"/>
      <c r="C83" s="3"/>
      <c r="D83" s="22"/>
      <c r="E83" s="43"/>
      <c r="G83" s="45">
        <f t="shared" si="4"/>
        <v>-300000</v>
      </c>
      <c r="H83" s="49" t="e">
        <f>+H82+B83</f>
        <v>#REF!</v>
      </c>
    </row>
    <row r="84" spans="1:8" ht="15.5">
      <c r="A84" s="8"/>
      <c r="B84" s="22"/>
      <c r="C84" s="3"/>
      <c r="D84" s="22"/>
      <c r="E84" s="43"/>
      <c r="G84" s="45">
        <f t="shared" si="4"/>
        <v>-300000</v>
      </c>
      <c r="H84" s="49" t="e">
        <f>+H83+B84</f>
        <v>#REF!</v>
      </c>
    </row>
    <row r="85" spans="1:8" ht="15.5">
      <c r="A85" s="8"/>
      <c r="B85" s="22"/>
      <c r="C85" s="3"/>
      <c r="D85" s="22"/>
      <c r="E85" s="43"/>
      <c r="G85" s="45">
        <f t="shared" si="4"/>
        <v>-300000</v>
      </c>
    </row>
    <row r="86" spans="1:8" ht="15.5">
      <c r="A86" s="8"/>
      <c r="B86" s="22"/>
      <c r="C86" s="3"/>
      <c r="D86" s="22"/>
      <c r="E86" s="43"/>
      <c r="G86" s="45">
        <f t="shared" si="4"/>
        <v>-300000</v>
      </c>
    </row>
    <row r="87" spans="1:8" ht="15.5">
      <c r="A87" s="14"/>
      <c r="B87" s="22"/>
      <c r="C87" s="14"/>
      <c r="D87" s="22"/>
      <c r="E87" s="43"/>
      <c r="G87" s="45">
        <f t="shared" si="4"/>
        <v>-300000</v>
      </c>
    </row>
    <row r="88" spans="1:8" ht="15.5">
      <c r="A88" s="14"/>
      <c r="B88" s="22"/>
      <c r="C88" s="14"/>
      <c r="D88" s="42"/>
      <c r="E88" s="43"/>
      <c r="G88" s="45">
        <f t="shared" si="4"/>
        <v>-300000</v>
      </c>
    </row>
    <row r="89" spans="1:8" ht="15.5">
      <c r="A89" s="14"/>
      <c r="B89" s="14"/>
      <c r="C89" s="14"/>
      <c r="D89" s="54"/>
      <c r="E89" s="43"/>
      <c r="G89" s="45">
        <f t="shared" si="4"/>
        <v>-300000</v>
      </c>
    </row>
    <row r="90" spans="1:8" ht="15.5">
      <c r="A90" s="14"/>
      <c r="B90" s="14"/>
      <c r="C90" s="14"/>
      <c r="D90" s="54"/>
      <c r="E90" s="43"/>
      <c r="G90" s="45">
        <f t="shared" si="4"/>
        <v>-300000</v>
      </c>
    </row>
    <row r="91" spans="1:8" ht="15.5">
      <c r="A91" s="14"/>
      <c r="B91" s="14"/>
      <c r="C91" s="14"/>
      <c r="D91" s="54"/>
      <c r="E91" s="43"/>
      <c r="G91" s="45">
        <f t="shared" si="4"/>
        <v>-300000</v>
      </c>
    </row>
    <row r="92" spans="1:8" ht="15.5">
      <c r="A92" s="14"/>
      <c r="B92" s="14"/>
      <c r="C92" s="14"/>
      <c r="D92" s="54"/>
      <c r="E92" s="43"/>
      <c r="G92" s="45">
        <f t="shared" si="4"/>
        <v>-300000</v>
      </c>
    </row>
    <row r="93" spans="1:8" ht="15.5">
      <c r="A93" s="14"/>
      <c r="B93" s="14"/>
      <c r="C93" s="14"/>
      <c r="D93" s="54"/>
      <c r="E93" s="43"/>
      <c r="G93" s="45">
        <f t="shared" si="4"/>
        <v>-300000</v>
      </c>
    </row>
    <row r="94" spans="1:8" ht="15.5">
      <c r="A94" s="14"/>
      <c r="B94" s="14"/>
      <c r="C94" s="14"/>
      <c r="D94" s="54"/>
      <c r="E94" s="43"/>
      <c r="G94" s="45">
        <f t="shared" si="4"/>
        <v>-300000</v>
      </c>
    </row>
    <row r="95" spans="1:8" ht="15.5">
      <c r="A95" s="14"/>
      <c r="B95" s="14"/>
      <c r="C95" s="14"/>
      <c r="D95" s="54"/>
      <c r="E95" s="43"/>
      <c r="G95" s="45">
        <f t="shared" si="4"/>
        <v>-300000</v>
      </c>
    </row>
    <row r="96" spans="1:8" ht="15.5">
      <c r="A96" s="14"/>
      <c r="B96" s="14"/>
      <c r="C96" s="14"/>
      <c r="D96" s="54"/>
      <c r="E96" s="43"/>
      <c r="G96" s="45">
        <f t="shared" si="4"/>
        <v>-300000</v>
      </c>
    </row>
    <row r="97" spans="1:7" ht="15.5">
      <c r="A97" s="14"/>
      <c r="B97" s="14"/>
      <c r="C97" s="14"/>
      <c r="D97" s="54"/>
      <c r="E97" s="43"/>
      <c r="G97" s="45">
        <f t="shared" si="4"/>
        <v>-300000</v>
      </c>
    </row>
    <row r="98" spans="1:7" ht="15.5">
      <c r="A98" s="14"/>
      <c r="B98" s="14"/>
      <c r="C98" s="14"/>
      <c r="D98" s="54"/>
      <c r="E98" s="43"/>
      <c r="G98" s="45">
        <f t="shared" si="4"/>
        <v>-300000</v>
      </c>
    </row>
    <row r="99" spans="1:7" ht="15.5">
      <c r="A99" s="14"/>
      <c r="B99" s="14"/>
      <c r="C99" s="14"/>
      <c r="D99" s="54"/>
      <c r="E99" s="43"/>
      <c r="G99" s="45">
        <f t="shared" si="4"/>
        <v>-300000</v>
      </c>
    </row>
    <row r="100" spans="1:7" ht="15.5">
      <c r="A100" s="14"/>
      <c r="B100" s="14"/>
      <c r="C100" s="14"/>
      <c r="D100" s="54"/>
      <c r="E100" s="43"/>
      <c r="G100" s="45">
        <f t="shared" si="4"/>
        <v>-300000</v>
      </c>
    </row>
    <row r="101" spans="1:7">
      <c r="A101" s="14"/>
      <c r="B101" s="14"/>
      <c r="C101" s="14"/>
      <c r="D101" s="54"/>
      <c r="E101" s="43"/>
    </row>
    <row r="102" spans="1:7">
      <c r="A102" s="14"/>
      <c r="B102" s="14"/>
      <c r="C102" s="14"/>
      <c r="D102" s="54"/>
      <c r="E102" s="43"/>
    </row>
    <row r="103" spans="1:7">
      <c r="A103" s="14"/>
      <c r="B103" s="14"/>
      <c r="C103" s="14"/>
      <c r="D103" s="54"/>
      <c r="E103" s="43"/>
    </row>
    <row r="104" spans="1:7">
      <c r="A104" s="14"/>
      <c r="B104" s="14"/>
      <c r="C104" s="14"/>
      <c r="D104" s="54"/>
      <c r="E104" s="43"/>
    </row>
    <row r="105" spans="1:7">
      <c r="A105" s="14"/>
      <c r="B105" s="14"/>
      <c r="C105" s="14"/>
      <c r="D105" s="54"/>
      <c r="E105" s="43"/>
    </row>
    <row r="106" spans="1:7">
      <c r="A106" s="14"/>
      <c r="B106" s="14"/>
      <c r="C106" s="14"/>
      <c r="D106" s="54"/>
      <c r="E106" s="43"/>
    </row>
    <row r="107" spans="1:7">
      <c r="A107" s="14"/>
      <c r="B107" s="14"/>
      <c r="C107" s="14"/>
      <c r="D107" s="54"/>
      <c r="E107" s="43"/>
    </row>
    <row r="108" spans="1:7">
      <c r="A108" s="14"/>
      <c r="B108" s="14"/>
      <c r="C108" s="14"/>
      <c r="D108" s="54"/>
      <c r="E108" s="43"/>
    </row>
  </sheetData>
  <mergeCells count="1">
    <mergeCell ref="A1:G1"/>
  </mergeCells>
  <pageMargins left="0.7" right="0.7" top="0.75" bottom="0.75" header="0.511811023622047" footer="0.511811023622047"/>
  <pageSetup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5"/>
  <sheetViews>
    <sheetView topLeftCell="A16" zoomScaleNormal="100" workbookViewId="0">
      <selection activeCell="S41" sqref="S41"/>
    </sheetView>
  </sheetViews>
  <sheetFormatPr baseColWidth="10" defaultColWidth="8.7265625" defaultRowHeight="14.5"/>
  <cols>
    <col min="1" max="1" width="7.54296875" customWidth="1"/>
    <col min="2" max="2" width="17.81640625" style="2" customWidth="1"/>
    <col min="3" max="3" width="25.1796875" customWidth="1"/>
    <col min="4" max="4" width="11.81640625" customWidth="1"/>
    <col min="5" max="5" width="11.453125" customWidth="1"/>
    <col min="6" max="6" width="30.453125" customWidth="1"/>
    <col min="7" max="7" width="25.81640625" style="2" customWidth="1"/>
    <col min="8" max="8" width="15.1796875" customWidth="1"/>
    <col min="9" max="9" width="11.1796875" style="2" customWidth="1"/>
    <col min="10" max="10" width="14.81640625" customWidth="1"/>
  </cols>
  <sheetData>
    <row r="1" spans="1:8" ht="15.5">
      <c r="A1" s="209" t="s">
        <v>0</v>
      </c>
      <c r="B1" s="209"/>
      <c r="C1" s="209"/>
      <c r="D1" s="3"/>
      <c r="E1" s="4"/>
      <c r="F1" s="4"/>
      <c r="G1" s="5"/>
      <c r="H1" s="5"/>
    </row>
    <row r="2" spans="1:8" ht="15.5">
      <c r="A2" s="6" t="s">
        <v>1</v>
      </c>
      <c r="B2" s="7" t="s">
        <v>2</v>
      </c>
      <c r="C2" s="6" t="s">
        <v>3</v>
      </c>
      <c r="D2" s="3"/>
      <c r="E2" s="4"/>
      <c r="F2" s="4"/>
      <c r="G2" s="210" t="s">
        <v>4</v>
      </c>
      <c r="H2" s="210"/>
    </row>
    <row r="3" spans="1:8" ht="15.5">
      <c r="A3" s="8">
        <v>45385</v>
      </c>
      <c r="B3" s="9">
        <v>10000</v>
      </c>
      <c r="C3" s="3" t="s">
        <v>185</v>
      </c>
      <c r="D3" s="10">
        <f>+B3</f>
        <v>10000</v>
      </c>
      <c r="E3" s="4"/>
      <c r="F3" s="4"/>
      <c r="G3" s="9" t="s">
        <v>6</v>
      </c>
      <c r="H3" s="9">
        <v>20000</v>
      </c>
    </row>
    <row r="4" spans="1:8" ht="15.5">
      <c r="A4" s="8">
        <v>45383</v>
      </c>
      <c r="B4" s="2">
        <v>1200</v>
      </c>
      <c r="C4" t="s">
        <v>186</v>
      </c>
      <c r="D4" s="11">
        <f>+D3+B4</f>
        <v>11200</v>
      </c>
      <c r="E4" s="4"/>
      <c r="F4" s="4"/>
      <c r="G4" s="9" t="s">
        <v>7</v>
      </c>
      <c r="H4" s="9">
        <v>30000</v>
      </c>
    </row>
    <row r="5" spans="1:8" ht="15.5">
      <c r="A5" s="8">
        <v>45384</v>
      </c>
      <c r="B5" s="9">
        <v>1800</v>
      </c>
      <c r="C5" s="3" t="s">
        <v>187</v>
      </c>
      <c r="D5" s="11">
        <f>+D4+B5</f>
        <v>13000</v>
      </c>
      <c r="E5" s="4"/>
      <c r="F5" s="4"/>
      <c r="G5" s="9" t="s">
        <v>9</v>
      </c>
      <c r="H5" s="9">
        <v>40000</v>
      </c>
    </row>
    <row r="6" spans="1:8" ht="15.5">
      <c r="A6" s="8">
        <v>45383</v>
      </c>
      <c r="B6" s="9">
        <v>-3500</v>
      </c>
      <c r="C6" s="3" t="s">
        <v>76</v>
      </c>
      <c r="D6" s="11">
        <f>+D5+B6</f>
        <v>9500</v>
      </c>
      <c r="E6" s="4"/>
      <c r="F6" s="4"/>
      <c r="G6" s="9" t="s">
        <v>11</v>
      </c>
      <c r="H6" s="9">
        <v>5000</v>
      </c>
    </row>
    <row r="7" spans="1:8" ht="15.5">
      <c r="A7" s="8">
        <v>45388</v>
      </c>
      <c r="B7" s="9">
        <v>-4000</v>
      </c>
      <c r="C7" s="3" t="s">
        <v>188</v>
      </c>
      <c r="D7" s="11"/>
      <c r="E7" s="4"/>
      <c r="F7" s="4"/>
      <c r="G7" s="9"/>
      <c r="H7" s="9"/>
    </row>
    <row r="8" spans="1:8" ht="15.5">
      <c r="A8" s="8">
        <v>45388</v>
      </c>
      <c r="B8" s="9">
        <v>-800</v>
      </c>
      <c r="C8" s="3" t="s">
        <v>113</v>
      </c>
      <c r="D8" s="11"/>
      <c r="E8" s="4"/>
      <c r="F8" s="4"/>
      <c r="G8" s="9" t="s">
        <v>13</v>
      </c>
      <c r="H8" s="9">
        <v>3000</v>
      </c>
    </row>
    <row r="9" spans="1:8" ht="15.5">
      <c r="A9" s="8">
        <v>45388</v>
      </c>
      <c r="B9" s="12">
        <v>-15000</v>
      </c>
      <c r="C9" s="3" t="s">
        <v>109</v>
      </c>
      <c r="D9" s="11"/>
      <c r="E9" s="4">
        <v>105000</v>
      </c>
      <c r="F9" s="4" t="s">
        <v>104</v>
      </c>
      <c r="G9" s="9" t="s">
        <v>15</v>
      </c>
      <c r="H9" s="9">
        <v>5000</v>
      </c>
    </row>
    <row r="10" spans="1:8" ht="15.5">
      <c r="A10" s="8">
        <v>45387</v>
      </c>
      <c r="B10" s="9">
        <v>-12315</v>
      </c>
      <c r="C10" s="3" t="s">
        <v>113</v>
      </c>
      <c r="D10" s="11"/>
      <c r="E10" s="4">
        <v>12000</v>
      </c>
      <c r="F10" s="4" t="s">
        <v>106</v>
      </c>
      <c r="G10" s="9" t="s">
        <v>18</v>
      </c>
      <c r="H10" s="9">
        <v>1500</v>
      </c>
    </row>
    <row r="11" spans="1:8" ht="15.5">
      <c r="A11" s="8">
        <v>45390</v>
      </c>
      <c r="B11" s="9">
        <f>-2500-2000-2000-1000</f>
        <v>-7500</v>
      </c>
      <c r="C11" s="3" t="s">
        <v>189</v>
      </c>
      <c r="D11" s="11"/>
      <c r="E11" s="4">
        <v>8000</v>
      </c>
      <c r="F11" s="4" t="s">
        <v>106</v>
      </c>
      <c r="G11" s="9" t="s">
        <v>19</v>
      </c>
      <c r="H11" s="9">
        <v>10000</v>
      </c>
    </row>
    <row r="12" spans="1:8" ht="15.5">
      <c r="A12" s="8">
        <v>45390</v>
      </c>
      <c r="B12" s="5">
        <v>-1600</v>
      </c>
      <c r="C12" s="18" t="s">
        <v>190</v>
      </c>
      <c r="D12" s="11"/>
      <c r="E12" s="4">
        <v>15000</v>
      </c>
      <c r="F12" s="4" t="s">
        <v>34</v>
      </c>
      <c r="G12" s="9" t="s">
        <v>21</v>
      </c>
      <c r="H12" s="9">
        <v>1500</v>
      </c>
    </row>
    <row r="13" spans="1:8" ht="15.5">
      <c r="A13" s="8">
        <v>45394</v>
      </c>
      <c r="B13" s="9">
        <v>-3442</v>
      </c>
      <c r="C13" s="3" t="s">
        <v>37</v>
      </c>
      <c r="D13" s="11"/>
      <c r="E13" s="4"/>
      <c r="F13" s="4"/>
      <c r="G13" s="9" t="s">
        <v>23</v>
      </c>
      <c r="H13" s="9">
        <v>25000</v>
      </c>
    </row>
    <row r="14" spans="1:8" ht="15.5">
      <c r="A14" s="8">
        <v>45394</v>
      </c>
      <c r="B14" s="9">
        <v>-1100</v>
      </c>
      <c r="C14" s="3" t="s">
        <v>53</v>
      </c>
      <c r="D14" s="11"/>
      <c r="E14" s="4"/>
      <c r="F14" s="4"/>
      <c r="G14" s="9" t="s">
        <v>25</v>
      </c>
      <c r="H14" s="9">
        <v>1500</v>
      </c>
    </row>
    <row r="15" spans="1:8" ht="15.5">
      <c r="A15" s="8">
        <v>45394</v>
      </c>
      <c r="B15" s="9">
        <v>-2300</v>
      </c>
      <c r="C15" s="3" t="s">
        <v>191</v>
      </c>
      <c r="D15" s="11"/>
      <c r="E15" s="4"/>
      <c r="F15" s="4"/>
      <c r="G15" s="9"/>
      <c r="H15" s="9"/>
    </row>
    <row r="16" spans="1:8" ht="15.5">
      <c r="A16" s="8">
        <v>45394</v>
      </c>
      <c r="B16" s="12">
        <v>-15000</v>
      </c>
      <c r="C16" s="14" t="s">
        <v>112</v>
      </c>
      <c r="D16" s="11"/>
      <c r="E16" s="4">
        <f>SUM(E9:E15)</f>
        <v>140000</v>
      </c>
      <c r="F16" s="4"/>
      <c r="G16" s="9"/>
      <c r="H16" s="9"/>
    </row>
    <row r="17" spans="1:8" ht="15.5">
      <c r="A17" s="8">
        <v>45394</v>
      </c>
      <c r="B17" s="12">
        <v>-4500</v>
      </c>
      <c r="C17" s="14" t="s">
        <v>188</v>
      </c>
      <c r="D17" s="11"/>
      <c r="E17" s="4"/>
      <c r="F17" s="4"/>
      <c r="G17" s="15" t="s">
        <v>27</v>
      </c>
      <c r="H17" s="15">
        <f>SUM(H3:H15)</f>
        <v>142500</v>
      </c>
    </row>
    <row r="18" spans="1:8" ht="15.5">
      <c r="A18" s="8">
        <v>45394</v>
      </c>
      <c r="B18" s="9">
        <v>-3500</v>
      </c>
      <c r="C18" s="3" t="s">
        <v>191</v>
      </c>
      <c r="D18" s="11"/>
      <c r="E18" s="4"/>
      <c r="F18" s="4"/>
      <c r="G18" s="5" t="s">
        <v>29</v>
      </c>
      <c r="H18" s="5">
        <f>+H17/54</f>
        <v>2638.8888888888887</v>
      </c>
    </row>
    <row r="19" spans="1:8" ht="15.5">
      <c r="A19" s="8">
        <v>45393</v>
      </c>
      <c r="B19" s="9">
        <v>-20365</v>
      </c>
      <c r="C19" s="3" t="s">
        <v>113</v>
      </c>
      <c r="D19" s="11"/>
      <c r="E19" s="4"/>
      <c r="F19" s="4"/>
      <c r="G19" s="5"/>
      <c r="H19" s="5"/>
    </row>
    <row r="20" spans="1:8" ht="15.5">
      <c r="A20" s="8">
        <v>45396</v>
      </c>
      <c r="B20" s="12">
        <v>-1000</v>
      </c>
      <c r="C20" s="3" t="s">
        <v>192</v>
      </c>
      <c r="D20" s="11"/>
      <c r="E20" s="4"/>
      <c r="F20" s="4"/>
      <c r="G20" s="5"/>
      <c r="H20" s="5"/>
    </row>
    <row r="21" spans="1:8" ht="15.5">
      <c r="A21" s="8">
        <v>45395</v>
      </c>
      <c r="B21" s="5">
        <v>-3000</v>
      </c>
      <c r="C21" s="18" t="s">
        <v>193</v>
      </c>
      <c r="D21" s="11"/>
      <c r="E21" s="4"/>
      <c r="F21" s="4"/>
      <c r="G21" s="5" t="s">
        <v>77</v>
      </c>
      <c r="H21" s="5"/>
    </row>
    <row r="22" spans="1:8" ht="15.5">
      <c r="A22" s="8">
        <v>45398</v>
      </c>
      <c r="B22" s="9">
        <v>-3500</v>
      </c>
      <c r="C22" s="3" t="s">
        <v>72</v>
      </c>
      <c r="D22" s="11"/>
      <c r="E22" s="4"/>
      <c r="F22" s="4"/>
      <c r="G22" s="5" t="s">
        <v>78</v>
      </c>
      <c r="H22" s="5">
        <f>1100*55</f>
        <v>60500</v>
      </c>
    </row>
    <row r="23" spans="1:8" ht="15.5">
      <c r="A23" s="8">
        <v>45398</v>
      </c>
      <c r="B23" s="12">
        <v>-3000</v>
      </c>
      <c r="C23" s="14" t="s">
        <v>194</v>
      </c>
      <c r="D23" s="11"/>
      <c r="E23" s="4">
        <v>201000</v>
      </c>
      <c r="F23" s="4"/>
      <c r="G23" s="5" t="s">
        <v>79</v>
      </c>
      <c r="H23" s="5">
        <v>27000</v>
      </c>
    </row>
    <row r="24" spans="1:8" ht="15.5">
      <c r="A24" s="8">
        <v>45404</v>
      </c>
      <c r="B24" s="12">
        <v>-20000</v>
      </c>
      <c r="C24" s="14" t="s">
        <v>111</v>
      </c>
      <c r="D24" s="11"/>
      <c r="E24" s="4"/>
      <c r="F24" s="4"/>
      <c r="G24" s="5"/>
      <c r="H24" s="5"/>
    </row>
    <row r="25" spans="1:8" ht="15.5">
      <c r="A25" s="8">
        <v>45402</v>
      </c>
      <c r="B25" s="12">
        <v>-2500</v>
      </c>
      <c r="C25" s="14" t="s">
        <v>195</v>
      </c>
      <c r="D25" s="11"/>
      <c r="E25" s="4"/>
      <c r="F25" s="4"/>
      <c r="G25" s="5" t="s">
        <v>27</v>
      </c>
      <c r="H25" s="17">
        <f>SUM(H22:H24)</f>
        <v>87500</v>
      </c>
    </row>
    <row r="26" spans="1:8" ht="15.5">
      <c r="A26" s="8">
        <v>45402</v>
      </c>
      <c r="B26" s="9">
        <v>-1200</v>
      </c>
      <c r="C26" s="3" t="s">
        <v>196</v>
      </c>
      <c r="D26" s="11"/>
      <c r="E26" s="4"/>
      <c r="F26" s="4"/>
      <c r="G26" s="5"/>
      <c r="H26" s="4"/>
    </row>
    <row r="27" spans="1:8" ht="15.5">
      <c r="A27" s="8">
        <v>45402</v>
      </c>
      <c r="B27" s="9">
        <v>-1200</v>
      </c>
      <c r="C27" s="3" t="s">
        <v>197</v>
      </c>
      <c r="D27" s="11"/>
      <c r="E27" s="4"/>
      <c r="F27" s="4"/>
      <c r="G27" s="5"/>
      <c r="H27" s="4"/>
    </row>
    <row r="28" spans="1:8" ht="15.5">
      <c r="A28" s="8">
        <v>45401</v>
      </c>
      <c r="B28" s="9">
        <v>-140000</v>
      </c>
      <c r="C28" s="3" t="s">
        <v>198</v>
      </c>
      <c r="D28" s="11"/>
      <c r="E28" s="4"/>
      <c r="F28" s="4" t="s">
        <v>80</v>
      </c>
      <c r="G28" s="5"/>
      <c r="H28" s="4"/>
    </row>
    <row r="29" spans="1:8" ht="15.5">
      <c r="A29" s="8">
        <v>45409</v>
      </c>
      <c r="B29" s="5">
        <v>-30000</v>
      </c>
      <c r="C29" s="18" t="s">
        <v>110</v>
      </c>
      <c r="D29" s="11"/>
      <c r="E29" s="4"/>
      <c r="F29" s="4" t="s">
        <v>81</v>
      </c>
      <c r="G29" s="5">
        <f>4700*56</f>
        <v>263200</v>
      </c>
      <c r="H29" s="5"/>
    </row>
    <row r="30" spans="1:8" ht="15.5">
      <c r="A30" s="8">
        <v>45409</v>
      </c>
      <c r="B30" s="2">
        <v>-12700</v>
      </c>
      <c r="C30" s="18" t="s">
        <v>199</v>
      </c>
      <c r="D30" s="11"/>
      <c r="E30" s="4"/>
      <c r="F30" s="4" t="s">
        <v>82</v>
      </c>
      <c r="G30" s="5">
        <v>10000</v>
      </c>
      <c r="H30" s="5"/>
    </row>
    <row r="31" spans="1:8" ht="15.5">
      <c r="A31" s="8">
        <v>45412</v>
      </c>
      <c r="B31" s="9">
        <v>-3300</v>
      </c>
      <c r="C31" s="3" t="s">
        <v>172</v>
      </c>
      <c r="D31" s="11"/>
      <c r="E31" s="4"/>
      <c r="F31" s="4" t="s">
        <v>83</v>
      </c>
      <c r="G31" s="5">
        <v>25000</v>
      </c>
      <c r="H31" s="5"/>
    </row>
    <row r="32" spans="1:8" ht="15.5">
      <c r="A32" s="8">
        <v>45412</v>
      </c>
      <c r="B32" s="9">
        <f>-500*59</f>
        <v>-29500</v>
      </c>
      <c r="C32" s="3" t="s">
        <v>200</v>
      </c>
      <c r="D32" s="11"/>
      <c r="E32" s="4"/>
      <c r="F32" s="17" t="s">
        <v>84</v>
      </c>
      <c r="G32" s="5">
        <v>35000</v>
      </c>
      <c r="H32" s="5"/>
    </row>
    <row r="33" spans="1:8" ht="15.5">
      <c r="A33" s="8">
        <v>45410</v>
      </c>
      <c r="B33" s="2">
        <v>-2000</v>
      </c>
      <c r="C33" s="18" t="s">
        <v>119</v>
      </c>
      <c r="E33" s="4"/>
      <c r="F33" s="4" t="s">
        <v>85</v>
      </c>
      <c r="G33" s="5">
        <v>9000</v>
      </c>
      <c r="H33" s="5"/>
    </row>
    <row r="34" spans="1:8" ht="15.5">
      <c r="A34" s="8">
        <v>45411</v>
      </c>
      <c r="B34" s="9">
        <v>-3000</v>
      </c>
      <c r="C34" s="3" t="s">
        <v>37</v>
      </c>
      <c r="D34" s="11"/>
      <c r="E34" s="4"/>
      <c r="F34" s="4" t="s">
        <v>86</v>
      </c>
      <c r="G34" s="5">
        <v>9000</v>
      </c>
      <c r="H34" s="5"/>
    </row>
    <row r="35" spans="1:8" ht="15.5">
      <c r="A35" s="13">
        <v>45397</v>
      </c>
      <c r="B35" s="12">
        <v>-9000</v>
      </c>
      <c r="C35" s="14" t="s">
        <v>201</v>
      </c>
      <c r="E35" s="4"/>
      <c r="F35" s="4"/>
      <c r="G35" s="5"/>
      <c r="H35" s="5"/>
    </row>
    <row r="36" spans="1:8" ht="15.5">
      <c r="A36" s="14"/>
      <c r="B36" s="12"/>
      <c r="C36" s="14"/>
      <c r="D36" s="11"/>
      <c r="E36" s="4"/>
      <c r="F36" s="4"/>
      <c r="G36" s="5"/>
      <c r="H36" s="5"/>
    </row>
    <row r="37" spans="1:8" ht="15.5">
      <c r="A37" s="14"/>
      <c r="B37" s="12"/>
      <c r="C37" s="14"/>
      <c r="D37" s="11"/>
      <c r="E37" s="4"/>
      <c r="F37" s="4"/>
      <c r="G37" s="5"/>
      <c r="H37" s="5"/>
    </row>
    <row r="38" spans="1:8" ht="15.5">
      <c r="A38" s="14"/>
      <c r="B38" s="12"/>
      <c r="C38" s="14"/>
      <c r="D38" s="11"/>
      <c r="E38" s="4"/>
      <c r="F38" s="26" t="s">
        <v>87</v>
      </c>
      <c r="G38" s="26"/>
      <c r="H38" s="5"/>
    </row>
    <row r="39" spans="1:8" ht="15.5">
      <c r="A39" s="14"/>
      <c r="B39" s="12"/>
      <c r="C39" s="14"/>
      <c r="D39" s="11"/>
      <c r="E39" s="4"/>
      <c r="F39" s="26" t="s">
        <v>88</v>
      </c>
      <c r="G39" s="26" t="s">
        <v>89</v>
      </c>
      <c r="H39" s="5"/>
    </row>
    <row r="40" spans="1:8" ht="15.5">
      <c r="A40" s="14"/>
      <c r="B40" s="12"/>
      <c r="C40" s="14"/>
      <c r="D40" s="11"/>
      <c r="E40" s="4"/>
      <c r="F40" s="27">
        <v>1</v>
      </c>
      <c r="G40" s="26">
        <v>1163</v>
      </c>
      <c r="H40" s="5"/>
    </row>
    <row r="41" spans="1:8" ht="15.5">
      <c r="A41" s="8"/>
      <c r="B41" s="9"/>
      <c r="C41" s="3"/>
      <c r="D41" s="11"/>
      <c r="E41" s="4"/>
      <c r="F41" s="27">
        <v>2</v>
      </c>
      <c r="G41" s="26">
        <v>1133</v>
      </c>
      <c r="H41" s="5"/>
    </row>
    <row r="42" spans="1:8" ht="15.5">
      <c r="A42" s="8">
        <v>45374</v>
      </c>
      <c r="B42" s="29">
        <v>-30000</v>
      </c>
      <c r="C42" s="3"/>
      <c r="D42" s="11"/>
      <c r="E42" s="4"/>
      <c r="F42" s="27">
        <v>3</v>
      </c>
      <c r="G42" s="26">
        <v>1150</v>
      </c>
      <c r="H42" s="5"/>
    </row>
    <row r="43" spans="1:8" ht="15.5">
      <c r="A43" s="8">
        <v>45389</v>
      </c>
      <c r="B43" s="30">
        <v>-15000</v>
      </c>
      <c r="C43" s="31"/>
      <c r="D43" s="11"/>
      <c r="E43" s="4"/>
      <c r="F43" s="27">
        <v>4</v>
      </c>
      <c r="G43" s="26">
        <v>1233</v>
      </c>
      <c r="H43" s="5"/>
    </row>
    <row r="44" spans="1:8" ht="15.5">
      <c r="A44" s="8"/>
      <c r="B44" s="12"/>
      <c r="C44" s="3" t="s">
        <v>109</v>
      </c>
      <c r="D44" s="3"/>
      <c r="E44" s="4"/>
      <c r="F44" s="27">
        <v>5</v>
      </c>
      <c r="G44" s="26">
        <v>989</v>
      </c>
      <c r="H44" s="5"/>
    </row>
    <row r="45" spans="1:8" ht="15.5">
      <c r="D45" s="11"/>
      <c r="E45" s="4"/>
      <c r="F45" s="27">
        <v>6</v>
      </c>
      <c r="G45" s="26">
        <v>953</v>
      </c>
      <c r="H45" s="5"/>
    </row>
    <row r="46" spans="1:8" ht="15.5">
      <c r="A46" s="8">
        <v>45409</v>
      </c>
      <c r="B46" s="32">
        <v>-30000</v>
      </c>
      <c r="C46" s="33" t="s">
        <v>110</v>
      </c>
      <c r="D46" s="11"/>
      <c r="E46" s="4"/>
      <c r="F46" s="27">
        <v>7</v>
      </c>
      <c r="G46" s="26">
        <v>864</v>
      </c>
      <c r="H46" s="5"/>
    </row>
    <row r="47" spans="1:8" ht="15.5">
      <c r="A47" s="8">
        <v>45404</v>
      </c>
      <c r="B47" s="34">
        <v>-20000</v>
      </c>
      <c r="C47" s="35" t="s">
        <v>111</v>
      </c>
      <c r="D47" s="11"/>
      <c r="E47" s="4"/>
      <c r="F47" s="27">
        <v>8</v>
      </c>
      <c r="G47" s="26">
        <v>710</v>
      </c>
      <c r="H47" s="5"/>
    </row>
    <row r="48" spans="1:8" ht="15.5">
      <c r="A48" s="8">
        <v>45394</v>
      </c>
      <c r="B48" s="34">
        <v>-15000</v>
      </c>
      <c r="C48" s="35" t="s">
        <v>112</v>
      </c>
      <c r="D48" s="11"/>
      <c r="E48" s="4"/>
      <c r="F48" s="28"/>
      <c r="G48" s="26"/>
      <c r="H48" s="5"/>
    </row>
    <row r="49" spans="1:8" ht="15.5">
      <c r="A49" s="8"/>
      <c r="B49" s="9"/>
      <c r="C49" s="3"/>
      <c r="D49" s="11"/>
      <c r="E49" s="4">
        <v>70000</v>
      </c>
      <c r="F49" s="26"/>
      <c r="G49" s="26">
        <f>SUM(G40:G48)</f>
        <v>8195</v>
      </c>
      <c r="H49" s="5"/>
    </row>
    <row r="50" spans="1:8" ht="15.5">
      <c r="A50" s="8"/>
      <c r="B50" s="9">
        <f>SUM(B42:B49)</f>
        <v>-110000</v>
      </c>
      <c r="C50" s="3"/>
      <c r="D50" s="11"/>
      <c r="E50" s="4">
        <v>65000</v>
      </c>
      <c r="F50" s="4"/>
      <c r="G50" s="5"/>
      <c r="H50" s="5"/>
    </row>
    <row r="51" spans="1:8" ht="15.5">
      <c r="A51" s="8"/>
      <c r="B51" s="9"/>
      <c r="C51" s="3"/>
      <c r="D51" s="11"/>
      <c r="E51" s="4"/>
      <c r="F51" s="4"/>
      <c r="G51" s="5"/>
      <c r="H51" s="5"/>
    </row>
    <row r="52" spans="1:8" ht="15.5">
      <c r="A52" s="8"/>
      <c r="B52" s="9"/>
      <c r="C52" s="3"/>
      <c r="D52" s="11"/>
      <c r="E52" s="4">
        <f>SUM(E49:E51)</f>
        <v>135000</v>
      </c>
      <c r="F52" s="4"/>
      <c r="G52" s="5"/>
      <c r="H52" s="5"/>
    </row>
    <row r="53" spans="1:8" ht="15.5">
      <c r="A53" s="8"/>
      <c r="B53" s="9"/>
      <c r="C53" s="3"/>
      <c r="D53" s="11"/>
      <c r="E53" s="4"/>
      <c r="F53" s="4"/>
      <c r="G53" s="5"/>
      <c r="H53" s="5">
        <v>50000</v>
      </c>
    </row>
    <row r="54" spans="1:8" ht="15.5">
      <c r="A54" s="8"/>
      <c r="B54" s="9">
        <f>SUM(B9:B53)</f>
        <v>-571522</v>
      </c>
      <c r="C54" s="3"/>
      <c r="D54" s="11"/>
      <c r="E54" s="4"/>
      <c r="F54" s="4"/>
      <c r="G54" s="5"/>
      <c r="H54" s="5">
        <v>80000</v>
      </c>
    </row>
    <row r="55" spans="1:8" ht="15.5">
      <c r="A55" s="8"/>
      <c r="B55" s="9"/>
      <c r="C55" s="3"/>
      <c r="D55" s="11"/>
      <c r="E55" s="4"/>
      <c r="F55" s="4"/>
      <c r="G55" s="5"/>
      <c r="H55" s="5"/>
    </row>
    <row r="56" spans="1:8" ht="15.5">
      <c r="A56" s="8"/>
      <c r="B56" s="9"/>
      <c r="C56" s="3"/>
      <c r="D56" s="11"/>
      <c r="E56" s="4"/>
      <c r="F56" s="4"/>
      <c r="G56" s="5"/>
      <c r="H56" s="5"/>
    </row>
    <row r="57" spans="1:8" ht="15.5">
      <c r="A57" s="8"/>
      <c r="B57" s="9"/>
      <c r="C57" s="3"/>
      <c r="D57" s="11"/>
      <c r="E57" s="4"/>
      <c r="F57" s="4"/>
      <c r="G57" s="5"/>
      <c r="H57" s="5"/>
    </row>
    <row r="58" spans="1:8" ht="15.5">
      <c r="A58" s="8"/>
      <c r="B58" s="9"/>
      <c r="C58" s="3"/>
      <c r="D58" s="11"/>
      <c r="E58" s="4"/>
      <c r="F58" s="4"/>
      <c r="G58" s="5"/>
      <c r="H58" s="5"/>
    </row>
    <row r="59" spans="1:8" ht="15.5">
      <c r="A59" s="8"/>
      <c r="B59" s="9"/>
      <c r="C59" s="3"/>
      <c r="D59" s="11"/>
      <c r="E59" s="4"/>
      <c r="F59" s="4"/>
      <c r="G59" s="5"/>
      <c r="H59" s="5"/>
    </row>
    <row r="60" spans="1:8" ht="15.5">
      <c r="A60" s="8"/>
      <c r="B60" s="9"/>
      <c r="C60" s="3"/>
      <c r="D60" s="11"/>
      <c r="E60" s="4"/>
      <c r="F60" s="4"/>
      <c r="G60" s="5"/>
      <c r="H60" s="5"/>
    </row>
    <row r="61" spans="1:8" ht="15.5">
      <c r="A61" s="8"/>
      <c r="B61" s="9"/>
      <c r="C61" s="3"/>
      <c r="D61" s="11"/>
      <c r="E61" s="4"/>
      <c r="F61" s="4"/>
      <c r="G61" s="5"/>
      <c r="H61" s="5"/>
    </row>
    <row r="62" spans="1:8" ht="15.5">
      <c r="A62" s="8"/>
      <c r="B62" s="9"/>
      <c r="C62" s="3"/>
      <c r="D62" s="22"/>
      <c r="E62" s="4"/>
      <c r="F62" s="4"/>
      <c r="G62" s="5"/>
      <c r="H62" s="5"/>
    </row>
    <row r="63" spans="1:8" ht="15.5">
      <c r="A63" s="8"/>
      <c r="B63" s="9"/>
      <c r="C63" s="3"/>
      <c r="D63" s="22"/>
      <c r="E63" s="4"/>
      <c r="F63" s="4"/>
      <c r="G63" s="5"/>
      <c r="H63" s="5"/>
    </row>
    <row r="64" spans="1:8" ht="15.5">
      <c r="A64" s="8"/>
      <c r="B64" s="9"/>
      <c r="C64" s="3"/>
      <c r="D64" s="22"/>
      <c r="E64" s="4"/>
      <c r="F64" s="4"/>
      <c r="G64" s="5"/>
      <c r="H64" s="5"/>
    </row>
    <row r="65" spans="1:10" ht="15.5">
      <c r="A65" s="8"/>
      <c r="B65" s="9"/>
      <c r="C65" s="3"/>
      <c r="D65" s="22"/>
      <c r="E65" s="4"/>
      <c r="F65" s="4"/>
      <c r="G65" s="5"/>
      <c r="H65" s="5"/>
    </row>
    <row r="66" spans="1:10" ht="15.5">
      <c r="A66" s="8"/>
      <c r="B66" s="9"/>
      <c r="C66" s="3"/>
      <c r="D66" s="22"/>
      <c r="E66" s="4"/>
      <c r="F66" s="4"/>
      <c r="G66" s="5"/>
      <c r="H66" s="5"/>
    </row>
    <row r="67" spans="1:10" ht="15.5">
      <c r="A67" s="8"/>
      <c r="B67" s="9"/>
      <c r="C67" s="3"/>
      <c r="D67" s="22"/>
      <c r="E67" s="4"/>
      <c r="F67" s="4"/>
      <c r="G67" s="5"/>
      <c r="H67" s="5"/>
    </row>
    <row r="68" spans="1:10" ht="15.5">
      <c r="A68" s="8"/>
      <c r="B68" s="9"/>
      <c r="C68" s="3"/>
      <c r="D68" s="22"/>
      <c r="E68" s="4"/>
      <c r="F68" s="4"/>
      <c r="G68" s="5"/>
      <c r="H68" s="5"/>
    </row>
    <row r="69" spans="1:10" ht="15.5">
      <c r="A69" s="8"/>
      <c r="B69" s="9"/>
      <c r="C69" s="3"/>
      <c r="D69" s="22"/>
      <c r="E69" s="4"/>
      <c r="F69" s="4"/>
      <c r="G69" s="5"/>
      <c r="H69" s="5"/>
    </row>
    <row r="70" spans="1:10" ht="15.5">
      <c r="A70" s="8">
        <v>45232</v>
      </c>
      <c r="B70" s="12"/>
      <c r="C70" s="14" t="s">
        <v>30</v>
      </c>
      <c r="D70" s="10">
        <f t="shared" ref="D70:D101" si="0">+D69+B70</f>
        <v>0</v>
      </c>
      <c r="E70" s="4"/>
      <c r="F70" s="4"/>
      <c r="G70" s="5"/>
      <c r="H70" s="5"/>
    </row>
    <row r="71" spans="1:10" ht="15.5">
      <c r="A71" s="8">
        <v>45232</v>
      </c>
      <c r="B71" s="12"/>
      <c r="C71" s="14" t="s">
        <v>19</v>
      </c>
      <c r="D71" s="10">
        <f t="shared" si="0"/>
        <v>0</v>
      </c>
      <c r="E71" s="4"/>
      <c r="F71" s="4"/>
      <c r="G71" s="5"/>
      <c r="H71" s="5"/>
    </row>
    <row r="72" spans="1:10" ht="15.5">
      <c r="A72" s="8">
        <v>45233</v>
      </c>
      <c r="B72" s="9">
        <v>-500</v>
      </c>
      <c r="C72" s="3" t="s">
        <v>31</v>
      </c>
      <c r="D72" s="10">
        <f t="shared" si="0"/>
        <v>-500</v>
      </c>
      <c r="E72" s="4"/>
      <c r="F72" s="4"/>
      <c r="G72" s="5"/>
      <c r="H72" s="5"/>
      <c r="J72" s="2"/>
    </row>
    <row r="73" spans="1:10" ht="15.5">
      <c r="A73" s="8">
        <v>45234</v>
      </c>
      <c r="B73" s="2">
        <v>-2300</v>
      </c>
      <c r="C73" s="16" t="s">
        <v>6</v>
      </c>
      <c r="D73" s="10">
        <f t="shared" si="0"/>
        <v>-2800</v>
      </c>
      <c r="E73" s="4"/>
      <c r="F73" s="4"/>
      <c r="G73" s="5"/>
      <c r="H73" s="5"/>
    </row>
    <row r="74" spans="1:10" ht="15.5">
      <c r="A74" s="8">
        <v>45234</v>
      </c>
      <c r="B74" s="12">
        <v>-1300</v>
      </c>
      <c r="C74" s="14" t="s">
        <v>32</v>
      </c>
      <c r="D74" s="10">
        <f t="shared" si="0"/>
        <v>-4100</v>
      </c>
      <c r="E74" s="4"/>
      <c r="F74" s="4"/>
      <c r="G74" s="5">
        <f>SUM(G29:G73)</f>
        <v>367590</v>
      </c>
      <c r="H74" s="5"/>
    </row>
    <row r="75" spans="1:10" ht="15.5">
      <c r="A75" s="8">
        <v>45234</v>
      </c>
      <c r="B75" s="12">
        <v>-1200</v>
      </c>
      <c r="C75" s="14" t="s">
        <v>33</v>
      </c>
      <c r="D75" s="10">
        <f t="shared" si="0"/>
        <v>-5300</v>
      </c>
      <c r="E75" s="4"/>
      <c r="F75" s="4"/>
      <c r="G75" s="5"/>
      <c r="H75" s="5"/>
      <c r="J75" s="11"/>
    </row>
    <row r="76" spans="1:10" ht="15.5">
      <c r="A76" s="8">
        <v>45235</v>
      </c>
      <c r="B76" s="9">
        <f>-300*56</f>
        <v>-16800</v>
      </c>
      <c r="C76" s="3" t="s">
        <v>34</v>
      </c>
      <c r="D76" s="10">
        <f t="shared" si="0"/>
        <v>-22100</v>
      </c>
      <c r="E76" s="4"/>
      <c r="F76" s="4"/>
      <c r="G76" s="5"/>
      <c r="H76" s="5"/>
    </row>
    <row r="77" spans="1:10" ht="15.5">
      <c r="A77" s="8">
        <v>45238</v>
      </c>
      <c r="B77" s="9">
        <v>-600</v>
      </c>
      <c r="C77" s="3" t="s">
        <v>35</v>
      </c>
      <c r="D77" s="10">
        <f t="shared" si="0"/>
        <v>-22700</v>
      </c>
      <c r="E77" s="4"/>
      <c r="F77" s="4"/>
      <c r="G77" s="5"/>
      <c r="H77" s="5"/>
    </row>
    <row r="78" spans="1:10" ht="15.5">
      <c r="A78" s="8">
        <v>45238</v>
      </c>
      <c r="B78" s="9"/>
      <c r="C78" s="3" t="s">
        <v>36</v>
      </c>
      <c r="D78" s="10">
        <f t="shared" si="0"/>
        <v>-22700</v>
      </c>
      <c r="E78" s="4"/>
      <c r="F78" s="4"/>
      <c r="G78" s="5"/>
      <c r="H78" s="5"/>
    </row>
    <row r="79" spans="1:10" ht="15.5">
      <c r="A79" s="8">
        <v>45238</v>
      </c>
      <c r="B79" s="9"/>
      <c r="C79" s="3" t="s">
        <v>37</v>
      </c>
      <c r="D79" s="10">
        <f t="shared" si="0"/>
        <v>-22700</v>
      </c>
      <c r="E79" s="4"/>
      <c r="F79" s="17"/>
      <c r="G79" s="5"/>
      <c r="H79" s="5"/>
    </row>
    <row r="80" spans="1:10" ht="15.5">
      <c r="A80" s="8">
        <v>45234</v>
      </c>
      <c r="B80" s="9">
        <v>-1424</v>
      </c>
      <c r="C80" s="3" t="s">
        <v>38</v>
      </c>
      <c r="D80" s="10">
        <f t="shared" si="0"/>
        <v>-24124</v>
      </c>
      <c r="E80" s="4"/>
      <c r="F80" s="4"/>
      <c r="G80" s="5"/>
      <c r="H80" s="5"/>
    </row>
    <row r="81" spans="1:10" ht="15.5">
      <c r="A81" s="8">
        <v>45238</v>
      </c>
      <c r="B81" s="9"/>
      <c r="C81" s="3"/>
      <c r="D81" s="10">
        <f t="shared" si="0"/>
        <v>-24124</v>
      </c>
      <c r="E81" s="4"/>
      <c r="F81" s="4"/>
      <c r="G81" s="5"/>
      <c r="H81" s="5"/>
    </row>
    <row r="82" spans="1:10" ht="15.5">
      <c r="A82" s="8">
        <v>45240</v>
      </c>
      <c r="B82" s="2">
        <v>-1000</v>
      </c>
      <c r="C82" s="18" t="s">
        <v>31</v>
      </c>
      <c r="D82" s="10">
        <f t="shared" si="0"/>
        <v>-25124</v>
      </c>
      <c r="E82" s="4"/>
      <c r="F82" s="4"/>
      <c r="G82" s="5"/>
      <c r="H82" s="5"/>
    </row>
    <row r="83" spans="1:10" ht="15.5">
      <c r="A83" s="8">
        <v>45239</v>
      </c>
      <c r="B83" s="9">
        <v>-500</v>
      </c>
      <c r="C83" s="3" t="s">
        <v>37</v>
      </c>
      <c r="D83" s="10">
        <f t="shared" si="0"/>
        <v>-25624</v>
      </c>
      <c r="E83" s="4"/>
      <c r="F83" s="4"/>
      <c r="G83" s="5"/>
      <c r="H83" s="5"/>
    </row>
    <row r="84" spans="1:10" ht="15.5">
      <c r="A84" s="8">
        <v>45237</v>
      </c>
      <c r="B84" s="9">
        <v>-2400</v>
      </c>
      <c r="C84" s="3" t="s">
        <v>6</v>
      </c>
      <c r="D84" s="10">
        <f t="shared" si="0"/>
        <v>-28024</v>
      </c>
      <c r="E84" s="4"/>
      <c r="F84" s="4"/>
      <c r="G84" s="5"/>
      <c r="H84" s="5"/>
      <c r="J84" s="11">
        <v>284865</v>
      </c>
    </row>
    <row r="85" spans="1:10" ht="15.5">
      <c r="A85" s="8">
        <v>45237</v>
      </c>
      <c r="B85" s="9">
        <v>-1097</v>
      </c>
      <c r="C85" s="3" t="s">
        <v>33</v>
      </c>
      <c r="D85" s="10">
        <f t="shared" si="0"/>
        <v>-29121</v>
      </c>
      <c r="E85" s="4"/>
      <c r="F85" s="4" t="s">
        <v>39</v>
      </c>
      <c r="G85" s="2">
        <v>385000</v>
      </c>
      <c r="H85" s="5"/>
    </row>
    <row r="86" spans="1:10" ht="15.5">
      <c r="A86" s="8">
        <v>45237</v>
      </c>
      <c r="B86" s="9">
        <v>-1150</v>
      </c>
      <c r="C86" s="3" t="s">
        <v>40</v>
      </c>
      <c r="D86" s="10">
        <f t="shared" si="0"/>
        <v>-30271</v>
      </c>
      <c r="E86" s="4"/>
      <c r="F86" s="4" t="s">
        <v>41</v>
      </c>
      <c r="G86" s="2">
        <v>-3133.64</v>
      </c>
      <c r="H86" s="5"/>
    </row>
    <row r="87" spans="1:10" ht="15.5">
      <c r="A87" s="8">
        <v>45237</v>
      </c>
      <c r="B87" s="9">
        <v>-731</v>
      </c>
      <c r="C87" s="3" t="s">
        <v>42</v>
      </c>
      <c r="D87" s="10">
        <f t="shared" si="0"/>
        <v>-31002</v>
      </c>
      <c r="E87" s="4"/>
      <c r="F87" s="19" t="s">
        <v>43</v>
      </c>
      <c r="G87" s="2">
        <v>-368.66</v>
      </c>
      <c r="H87" s="5"/>
    </row>
    <row r="88" spans="1:10" ht="15.5">
      <c r="A88" s="8">
        <v>45239</v>
      </c>
      <c r="B88" s="9">
        <v>-3050</v>
      </c>
      <c r="C88" s="3" t="s">
        <v>37</v>
      </c>
      <c r="D88" s="10">
        <f t="shared" si="0"/>
        <v>-34052</v>
      </c>
      <c r="E88" s="4"/>
      <c r="F88" s="4" t="s">
        <v>44</v>
      </c>
      <c r="G88" s="2">
        <v>-1163.1300000000001</v>
      </c>
      <c r="H88" s="5"/>
    </row>
    <row r="89" spans="1:10" ht="15.5">
      <c r="A89" s="8">
        <v>45239</v>
      </c>
      <c r="B89" s="9">
        <v>-1173</v>
      </c>
      <c r="C89" s="3" t="s">
        <v>37</v>
      </c>
      <c r="D89" s="10">
        <f t="shared" si="0"/>
        <v>-35225</v>
      </c>
      <c r="E89" s="4"/>
      <c r="F89" s="4" t="s">
        <v>45</v>
      </c>
      <c r="G89" s="2">
        <v>-553</v>
      </c>
      <c r="H89" s="5"/>
    </row>
    <row r="90" spans="1:10" ht="15.5">
      <c r="A90" s="20">
        <v>45258</v>
      </c>
      <c r="B90" s="2">
        <v>-670</v>
      </c>
      <c r="C90" s="18" t="s">
        <v>19</v>
      </c>
      <c r="D90" s="10">
        <f t="shared" si="0"/>
        <v>-35895</v>
      </c>
      <c r="E90" s="4"/>
      <c r="F90" s="4" t="s">
        <v>46</v>
      </c>
      <c r="G90" s="2">
        <v>-553</v>
      </c>
      <c r="H90" s="5"/>
    </row>
    <row r="91" spans="1:10" ht="15.5">
      <c r="A91" s="20">
        <v>45258</v>
      </c>
      <c r="B91" s="2">
        <v>-1412</v>
      </c>
      <c r="C91" s="18" t="s">
        <v>38</v>
      </c>
      <c r="D91" s="10">
        <f t="shared" si="0"/>
        <v>-37307</v>
      </c>
      <c r="E91" s="4"/>
      <c r="F91" s="4" t="s">
        <v>47</v>
      </c>
      <c r="G91" s="2">
        <v>-553</v>
      </c>
      <c r="H91" s="5"/>
    </row>
    <row r="92" spans="1:10" ht="15.5">
      <c r="A92" s="8">
        <v>45257</v>
      </c>
      <c r="B92" s="9">
        <v>-3000</v>
      </c>
      <c r="C92" s="3" t="s">
        <v>6</v>
      </c>
      <c r="D92" s="10">
        <f t="shared" si="0"/>
        <v>-40307</v>
      </c>
      <c r="E92" s="4"/>
      <c r="H92" s="5"/>
    </row>
    <row r="93" spans="1:10" ht="15.5">
      <c r="A93" s="8">
        <v>45257</v>
      </c>
      <c r="B93" s="9">
        <v>-265</v>
      </c>
      <c r="C93" s="3" t="s">
        <v>37</v>
      </c>
      <c r="D93" s="10">
        <f t="shared" si="0"/>
        <v>-40572</v>
      </c>
      <c r="E93" s="4"/>
      <c r="F93" s="4" t="s">
        <v>48</v>
      </c>
      <c r="G93" s="2">
        <f>SUM(G85:G91)</f>
        <v>378675.57</v>
      </c>
      <c r="H93" s="5"/>
    </row>
    <row r="94" spans="1:10" ht="15.5">
      <c r="A94" s="8">
        <v>45257</v>
      </c>
      <c r="B94" s="9">
        <v>-835.44</v>
      </c>
      <c r="C94" s="3"/>
      <c r="D94" s="10">
        <f t="shared" si="0"/>
        <v>-41407.440000000002</v>
      </c>
      <c r="E94" s="4"/>
      <c r="F94" s="4" t="s">
        <v>49</v>
      </c>
      <c r="G94" s="2">
        <f>+G93*0.25</f>
        <v>94668.892500000002</v>
      </c>
      <c r="H94" s="5"/>
    </row>
    <row r="95" spans="1:10" ht="15.5">
      <c r="A95" s="8">
        <v>45257</v>
      </c>
      <c r="B95" s="9">
        <v>-8849</v>
      </c>
      <c r="C95" s="3" t="s">
        <v>37</v>
      </c>
      <c r="D95" s="10">
        <f t="shared" si="0"/>
        <v>-50256.44</v>
      </c>
      <c r="E95" s="4"/>
      <c r="F95" s="4" t="s">
        <v>50</v>
      </c>
      <c r="G95" s="5">
        <v>-90000</v>
      </c>
      <c r="H95" s="5"/>
      <c r="J95" s="2"/>
    </row>
    <row r="96" spans="1:10" ht="15.5">
      <c r="A96" s="8">
        <v>45257</v>
      </c>
      <c r="B96" s="9"/>
      <c r="C96" s="3" t="s">
        <v>51</v>
      </c>
      <c r="D96" s="10">
        <f t="shared" si="0"/>
        <v>-50256.44</v>
      </c>
      <c r="E96" s="4"/>
      <c r="F96" s="4" t="s">
        <v>52</v>
      </c>
      <c r="G96" s="5">
        <f>SUM(G94:G95)</f>
        <v>4668.8925000000017</v>
      </c>
      <c r="H96" s="5"/>
    </row>
    <row r="97" spans="1:10" ht="15.5">
      <c r="A97" s="8">
        <v>45254</v>
      </c>
      <c r="B97" s="9">
        <v>-730</v>
      </c>
      <c r="C97" s="3" t="s">
        <v>53</v>
      </c>
      <c r="D97" s="10">
        <f t="shared" si="0"/>
        <v>-50986.44</v>
      </c>
      <c r="E97" s="4"/>
      <c r="F97" s="4"/>
      <c r="G97" s="5"/>
      <c r="H97" s="5"/>
    </row>
    <row r="98" spans="1:10" ht="15.5">
      <c r="A98" s="8">
        <v>45244</v>
      </c>
      <c r="B98" s="9">
        <v>-350</v>
      </c>
      <c r="C98" s="3" t="s">
        <v>53</v>
      </c>
      <c r="D98" s="10">
        <f t="shared" si="0"/>
        <v>-51336.44</v>
      </c>
      <c r="E98" s="4"/>
      <c r="F98" s="4"/>
      <c r="G98" s="5"/>
      <c r="H98" s="5"/>
      <c r="J98" s="11"/>
    </row>
    <row r="99" spans="1:10" ht="15.5">
      <c r="A99" s="8">
        <v>45243</v>
      </c>
      <c r="B99" s="9">
        <v>-2901</v>
      </c>
      <c r="C99" s="3" t="s">
        <v>6</v>
      </c>
      <c r="D99" s="10">
        <f t="shared" si="0"/>
        <v>-54237.440000000002</v>
      </c>
      <c r="E99" s="4"/>
      <c r="F99" s="4"/>
      <c r="G99" s="5"/>
      <c r="H99" s="5"/>
    </row>
    <row r="100" spans="1:10" ht="15.5">
      <c r="A100" s="8">
        <v>45240</v>
      </c>
      <c r="B100" s="9">
        <v>-1654</v>
      </c>
      <c r="C100" s="3" t="s">
        <v>38</v>
      </c>
      <c r="D100" s="10">
        <f t="shared" si="0"/>
        <v>-55891.44</v>
      </c>
      <c r="E100" s="4"/>
      <c r="F100" s="4"/>
      <c r="G100" s="5"/>
      <c r="H100" s="5">
        <v>284865</v>
      </c>
    </row>
    <row r="101" spans="1:10" ht="15.5">
      <c r="A101" s="8">
        <v>45239</v>
      </c>
      <c r="B101" s="9">
        <v>-2191</v>
      </c>
      <c r="C101" s="3" t="s">
        <v>37</v>
      </c>
      <c r="D101" s="10">
        <f t="shared" si="0"/>
        <v>-58082.44</v>
      </c>
      <c r="E101" s="4"/>
      <c r="F101" s="4"/>
      <c r="G101" s="5"/>
      <c r="H101" s="5">
        <v>90000</v>
      </c>
    </row>
    <row r="102" spans="1:10" ht="15.5">
      <c r="A102" s="8">
        <v>45257</v>
      </c>
      <c r="B102" s="9">
        <v>-3000</v>
      </c>
      <c r="C102" s="3" t="s">
        <v>31</v>
      </c>
      <c r="D102" s="10">
        <f t="shared" ref="D102:D118" si="1">+D101+B102</f>
        <v>-61082.44</v>
      </c>
      <c r="E102" s="4"/>
      <c r="F102" s="17">
        <f>SUM(B25:B100)</f>
        <v>-1081813.44</v>
      </c>
      <c r="G102" s="5"/>
      <c r="H102" s="5">
        <v>5000</v>
      </c>
    </row>
    <row r="103" spans="1:10" ht="15.5">
      <c r="A103" s="8">
        <v>45257</v>
      </c>
      <c r="B103" s="9"/>
      <c r="C103" s="3" t="s">
        <v>54</v>
      </c>
      <c r="D103" s="10">
        <f t="shared" si="1"/>
        <v>-61082.44</v>
      </c>
      <c r="E103" s="4"/>
      <c r="F103" s="4"/>
      <c r="G103" s="5"/>
      <c r="H103" s="5">
        <f>SUM(H100:H102)</f>
        <v>379865</v>
      </c>
    </row>
    <row r="104" spans="1:10" ht="15.5">
      <c r="A104" s="8">
        <v>45257</v>
      </c>
      <c r="B104" s="9"/>
      <c r="C104" s="3" t="s">
        <v>55</v>
      </c>
      <c r="D104" s="10">
        <f t="shared" si="1"/>
        <v>-61082.44</v>
      </c>
      <c r="E104" s="4"/>
      <c r="F104" s="4"/>
      <c r="G104" s="5"/>
      <c r="H104" s="5"/>
    </row>
    <row r="105" spans="1:10" ht="15.5">
      <c r="A105" s="8">
        <v>45257</v>
      </c>
      <c r="B105" s="9">
        <v>-12000</v>
      </c>
      <c r="C105" s="3" t="s">
        <v>56</v>
      </c>
      <c r="D105" s="10">
        <f t="shared" si="1"/>
        <v>-73082.44</v>
      </c>
      <c r="E105" s="4"/>
      <c r="F105" s="4"/>
      <c r="G105" s="5"/>
      <c r="H105" s="5"/>
    </row>
    <row r="106" spans="1:10" ht="15.5">
      <c r="A106" s="8">
        <v>45260</v>
      </c>
      <c r="B106" s="9">
        <v>-2000</v>
      </c>
      <c r="C106" s="21" t="s">
        <v>31</v>
      </c>
      <c r="D106" s="10">
        <f t="shared" si="1"/>
        <v>-75082.44</v>
      </c>
      <c r="E106" s="4"/>
      <c r="F106" s="4"/>
      <c r="G106" s="5"/>
      <c r="H106" s="5"/>
    </row>
    <row r="107" spans="1:10" ht="15.5">
      <c r="A107" s="8">
        <v>45260</v>
      </c>
      <c r="B107" s="9">
        <v>-1000</v>
      </c>
      <c r="C107" s="3" t="s">
        <v>57</v>
      </c>
      <c r="D107" s="10">
        <f t="shared" si="1"/>
        <v>-76082.44</v>
      </c>
      <c r="E107" s="4"/>
      <c r="F107" s="4"/>
      <c r="G107" s="5"/>
      <c r="H107" s="5"/>
    </row>
    <row r="108" spans="1:10" ht="15.5">
      <c r="A108" s="8"/>
      <c r="B108" s="9"/>
      <c r="C108" s="3"/>
      <c r="D108" s="10">
        <f t="shared" si="1"/>
        <v>-76082.44</v>
      </c>
      <c r="E108" s="4"/>
      <c r="F108" s="4"/>
      <c r="G108" s="5"/>
      <c r="H108" s="5"/>
    </row>
    <row r="109" spans="1:10" ht="15.5">
      <c r="A109" s="8"/>
      <c r="B109" s="9"/>
      <c r="C109" s="3"/>
      <c r="D109" s="10">
        <f t="shared" si="1"/>
        <v>-76082.44</v>
      </c>
      <c r="E109" s="4"/>
      <c r="F109" s="4"/>
      <c r="G109" s="5"/>
      <c r="H109" s="5"/>
    </row>
    <row r="110" spans="1:10" ht="15.5">
      <c r="A110" s="8"/>
      <c r="B110" s="9"/>
      <c r="C110" s="3"/>
      <c r="D110" s="10">
        <f t="shared" si="1"/>
        <v>-76082.44</v>
      </c>
      <c r="E110" s="4"/>
      <c r="F110" s="4"/>
      <c r="G110" s="5"/>
      <c r="H110" s="5"/>
    </row>
    <row r="111" spans="1:10" ht="15.5">
      <c r="A111" s="8"/>
      <c r="B111" s="9">
        <f>SUM(B70:B110)</f>
        <v>-76082.44</v>
      </c>
      <c r="C111" s="3"/>
      <c r="D111" s="10">
        <f t="shared" si="1"/>
        <v>-152164.88</v>
      </c>
      <c r="E111" s="4"/>
      <c r="F111" s="4"/>
      <c r="G111" s="5"/>
      <c r="H111" s="5"/>
    </row>
    <row r="112" spans="1:10" ht="15.5">
      <c r="A112" s="8"/>
      <c r="B112" s="9"/>
      <c r="C112" s="3"/>
      <c r="D112" s="10">
        <f t="shared" si="1"/>
        <v>-152164.88</v>
      </c>
      <c r="E112" s="4"/>
      <c r="F112" s="4"/>
      <c r="G112" s="5"/>
      <c r="H112" s="5"/>
    </row>
    <row r="113" spans="1:8" ht="15.5">
      <c r="A113" s="8"/>
      <c r="B113" s="9"/>
      <c r="C113" s="3"/>
      <c r="D113" s="10">
        <f t="shared" si="1"/>
        <v>-152164.88</v>
      </c>
      <c r="E113" s="4"/>
      <c r="F113" s="4"/>
      <c r="G113" s="5"/>
      <c r="H113" s="5"/>
    </row>
    <row r="114" spans="1:8" ht="15.5">
      <c r="A114" s="8"/>
      <c r="B114" s="9"/>
      <c r="C114" s="3"/>
      <c r="D114" s="10">
        <f t="shared" si="1"/>
        <v>-152164.88</v>
      </c>
      <c r="E114" s="4"/>
      <c r="F114" s="4"/>
      <c r="G114" s="5"/>
      <c r="H114" s="5"/>
    </row>
    <row r="115" spans="1:8" ht="15.5">
      <c r="A115" s="8"/>
      <c r="B115" s="9">
        <f>SUM(B70:B114)</f>
        <v>-152164.88</v>
      </c>
      <c r="C115" s="3"/>
      <c r="D115" s="10">
        <f t="shared" si="1"/>
        <v>-304329.76</v>
      </c>
      <c r="E115" s="4"/>
      <c r="F115" s="4"/>
      <c r="G115" s="5"/>
      <c r="H115" s="5"/>
    </row>
    <row r="116" spans="1:8" ht="15.5">
      <c r="A116" s="8"/>
      <c r="B116" s="9"/>
      <c r="C116" s="3"/>
      <c r="D116" s="10">
        <f t="shared" si="1"/>
        <v>-304329.76</v>
      </c>
      <c r="E116" s="4"/>
      <c r="F116" s="4"/>
      <c r="G116" s="5"/>
      <c r="H116" s="5"/>
    </row>
    <row r="117" spans="1:8" ht="15.5">
      <c r="A117" s="8"/>
      <c r="B117" s="9"/>
      <c r="C117" s="3"/>
      <c r="D117" s="22">
        <f t="shared" si="1"/>
        <v>-304329.76</v>
      </c>
      <c r="E117" s="4"/>
      <c r="F117" s="4"/>
      <c r="G117" s="5"/>
      <c r="H117" s="5"/>
    </row>
    <row r="118" spans="1:8" ht="15.5">
      <c r="A118" s="8"/>
      <c r="B118" s="9"/>
      <c r="C118" s="3"/>
      <c r="D118" s="22">
        <f t="shared" si="1"/>
        <v>-304329.76</v>
      </c>
      <c r="E118" s="4"/>
      <c r="F118" s="4"/>
      <c r="G118" s="5"/>
      <c r="H118" s="5"/>
    </row>
    <row r="119" spans="1:8" ht="15.5">
      <c r="A119" s="8"/>
      <c r="B119" s="9"/>
      <c r="C119" s="3"/>
      <c r="D119" s="22"/>
      <c r="E119" s="4"/>
      <c r="F119" s="4"/>
      <c r="G119" s="5"/>
      <c r="H119" s="5"/>
    </row>
    <row r="120" spans="1:8" ht="15.5">
      <c r="A120" s="8"/>
      <c r="B120" s="9"/>
      <c r="C120" s="3"/>
      <c r="D120" s="22"/>
      <c r="E120" s="4"/>
      <c r="F120" s="4"/>
      <c r="G120" s="5"/>
      <c r="H120" s="5"/>
    </row>
    <row r="121" spans="1:8" ht="15.5">
      <c r="A121" s="8"/>
      <c r="B121" s="9"/>
      <c r="C121" s="3"/>
      <c r="D121" s="22"/>
      <c r="E121" s="4"/>
      <c r="F121" s="4"/>
      <c r="G121" s="5"/>
      <c r="H121" s="5"/>
    </row>
    <row r="122" spans="1:8" ht="15.5">
      <c r="A122" s="8"/>
      <c r="B122" s="9"/>
      <c r="C122" s="3"/>
      <c r="D122" s="22"/>
      <c r="E122" s="4"/>
      <c r="F122" s="4"/>
      <c r="G122" s="5"/>
      <c r="H122" s="5"/>
    </row>
    <row r="123" spans="1:8" ht="15.5">
      <c r="A123" s="8"/>
      <c r="B123" s="9"/>
      <c r="C123" s="3"/>
      <c r="D123" s="22"/>
      <c r="E123" s="4"/>
      <c r="F123" s="4"/>
      <c r="G123" s="5"/>
      <c r="H123" s="5"/>
    </row>
    <row r="124" spans="1:8" ht="15.5">
      <c r="A124" s="8"/>
      <c r="B124" s="9"/>
      <c r="C124" s="3"/>
      <c r="D124" s="22"/>
      <c r="E124" s="4"/>
      <c r="F124" s="4"/>
      <c r="G124" s="5"/>
      <c r="H124" s="5"/>
    </row>
    <row r="125" spans="1:8" ht="15.5">
      <c r="A125" s="8"/>
      <c r="B125" s="9"/>
      <c r="C125" s="3"/>
      <c r="D125" s="22"/>
      <c r="E125" s="4"/>
      <c r="F125" s="4"/>
      <c r="G125" s="5"/>
      <c r="H125" s="5"/>
    </row>
    <row r="126" spans="1:8" ht="15.5">
      <c r="A126" s="8"/>
      <c r="B126" s="9"/>
      <c r="C126" s="3"/>
      <c r="D126" s="22"/>
      <c r="E126" s="4"/>
      <c r="F126" s="4"/>
      <c r="G126" s="5"/>
      <c r="H126" s="5"/>
    </row>
    <row r="127" spans="1:8" ht="15.5">
      <c r="A127" s="8"/>
      <c r="B127" s="9"/>
      <c r="C127" s="3"/>
      <c r="D127" s="22"/>
      <c r="E127" s="4"/>
      <c r="F127" s="4"/>
      <c r="G127" s="5"/>
      <c r="H127" s="5"/>
    </row>
    <row r="128" spans="1:8" ht="15.5">
      <c r="A128" s="8"/>
      <c r="B128" s="9"/>
      <c r="C128" s="3"/>
      <c r="D128" s="22"/>
      <c r="E128" s="4"/>
      <c r="F128" s="4"/>
      <c r="G128" s="5"/>
      <c r="H128" s="5"/>
    </row>
    <row r="129" spans="1:8" ht="15.5">
      <c r="A129" s="8"/>
      <c r="B129" s="9"/>
      <c r="C129" s="3"/>
      <c r="D129" s="22"/>
      <c r="E129" s="4"/>
      <c r="F129" s="4"/>
      <c r="G129" s="5"/>
      <c r="H129" s="5"/>
    </row>
    <row r="130" spans="1:8" ht="15.5">
      <c r="A130" s="8"/>
      <c r="B130" s="9"/>
      <c r="C130" s="3"/>
      <c r="D130" s="22"/>
      <c r="E130" s="4"/>
      <c r="F130" s="4"/>
      <c r="G130" s="5"/>
      <c r="H130" s="5"/>
    </row>
    <row r="131" spans="1:8" ht="15.5">
      <c r="A131" s="8"/>
      <c r="B131" s="9"/>
      <c r="C131" s="3"/>
      <c r="D131" s="22"/>
      <c r="E131" s="4"/>
      <c r="F131" s="4"/>
      <c r="G131" s="5"/>
      <c r="H131" s="5"/>
    </row>
    <row r="132" spans="1:8" ht="15.5">
      <c r="A132" s="8"/>
      <c r="B132" s="9"/>
      <c r="C132" s="3"/>
      <c r="D132" s="22"/>
      <c r="E132" s="4"/>
      <c r="F132" s="4"/>
      <c r="G132" s="5"/>
      <c r="H132" s="5"/>
    </row>
    <row r="133" spans="1:8" ht="15.5">
      <c r="A133" s="13"/>
      <c r="B133" s="12"/>
      <c r="C133" s="14"/>
      <c r="D133" s="22"/>
      <c r="E133" s="4"/>
      <c r="F133" s="4"/>
      <c r="G133" s="5"/>
      <c r="H133" s="5"/>
    </row>
    <row r="134" spans="1:8" ht="15.5">
      <c r="A134" s="13"/>
      <c r="B134" s="12"/>
      <c r="C134" s="14"/>
      <c r="D134" s="22"/>
      <c r="E134" s="4"/>
      <c r="F134" s="4"/>
      <c r="G134" s="5"/>
      <c r="H134" s="5"/>
    </row>
    <row r="135" spans="1:8" ht="15.5">
      <c r="A135" s="8"/>
      <c r="B135" s="9"/>
      <c r="C135" s="3"/>
      <c r="D135" s="22"/>
      <c r="E135" s="4"/>
      <c r="F135" s="4"/>
      <c r="G135" s="5"/>
      <c r="H135" s="5"/>
    </row>
    <row r="136" spans="1:8" ht="15.5">
      <c r="A136" s="13"/>
      <c r="C136" s="16"/>
      <c r="D136" s="22"/>
      <c r="E136" s="4"/>
      <c r="F136" s="4"/>
      <c r="G136" s="5"/>
      <c r="H136" s="5"/>
    </row>
    <row r="137" spans="1:8" ht="15.5">
      <c r="A137" s="13"/>
      <c r="B137" s="12"/>
      <c r="C137" s="14"/>
      <c r="D137" s="22"/>
      <c r="E137" s="4"/>
      <c r="F137" s="4"/>
      <c r="G137" s="5"/>
      <c r="H137" s="5"/>
    </row>
    <row r="138" spans="1:8" ht="15.5">
      <c r="A138" s="13"/>
      <c r="B138" s="12"/>
      <c r="C138" s="14"/>
      <c r="D138" s="22"/>
      <c r="E138" s="4"/>
      <c r="F138" s="4"/>
      <c r="G138" s="5"/>
      <c r="H138" s="5"/>
    </row>
    <row r="139" spans="1:8" ht="15.5">
      <c r="A139" s="13"/>
      <c r="B139" s="12"/>
      <c r="C139" s="14"/>
      <c r="D139" s="22"/>
      <c r="E139" s="4"/>
      <c r="F139" s="4"/>
      <c r="G139" s="5"/>
      <c r="H139" s="5"/>
    </row>
    <row r="140" spans="1:8" ht="15.5">
      <c r="A140" s="8"/>
      <c r="B140" s="12"/>
      <c r="C140" s="14"/>
      <c r="D140" s="22"/>
      <c r="E140" s="4"/>
      <c r="F140" s="4"/>
      <c r="G140" s="5"/>
      <c r="H140" s="5"/>
    </row>
    <row r="141" spans="1:8" ht="15.5">
      <c r="A141" s="8"/>
      <c r="B141" s="9"/>
      <c r="C141" s="3"/>
      <c r="D141" s="22"/>
      <c r="E141" s="4"/>
      <c r="F141" s="4"/>
      <c r="G141" s="5"/>
      <c r="H141" s="5"/>
    </row>
    <row r="142" spans="1:8" ht="15.5">
      <c r="A142" s="8"/>
      <c r="B142" s="9"/>
      <c r="C142" s="3"/>
      <c r="D142" s="22"/>
      <c r="E142" s="4"/>
      <c r="F142" s="4"/>
      <c r="G142" s="5"/>
      <c r="H142" s="5"/>
    </row>
    <row r="143" spans="1:8" ht="15.5">
      <c r="A143" s="8"/>
      <c r="B143" s="9"/>
      <c r="C143" s="3"/>
      <c r="D143" s="22"/>
      <c r="E143" s="4"/>
      <c r="F143" s="4"/>
      <c r="G143" s="5"/>
      <c r="H143" s="5"/>
    </row>
    <row r="144" spans="1:8" ht="15.5">
      <c r="A144" s="8"/>
      <c r="B144" s="9"/>
      <c r="C144" s="3"/>
      <c r="D144" s="22"/>
      <c r="E144" s="4"/>
      <c r="F144" s="4"/>
      <c r="G144" s="5"/>
      <c r="H144" s="5"/>
    </row>
    <row r="145" spans="1:8" ht="15.5">
      <c r="A145" s="8"/>
      <c r="B145" s="9"/>
      <c r="C145" s="3"/>
      <c r="D145" s="22"/>
      <c r="E145" s="4"/>
      <c r="F145" s="4"/>
      <c r="G145" s="5"/>
      <c r="H145" s="5"/>
    </row>
    <row r="146" spans="1:8" ht="15.5">
      <c r="A146" s="8"/>
      <c r="B146" s="9"/>
      <c r="C146" s="3"/>
      <c r="D146" s="22"/>
      <c r="E146" s="4"/>
      <c r="F146" s="4"/>
      <c r="G146" s="5"/>
      <c r="H146" s="5"/>
    </row>
    <row r="147" spans="1:8" ht="15.5">
      <c r="A147" s="8"/>
      <c r="C147" s="18"/>
      <c r="D147" s="22"/>
      <c r="E147" s="4"/>
      <c r="F147" s="4"/>
      <c r="G147" s="5"/>
      <c r="H147" s="5"/>
    </row>
    <row r="148" spans="1:8" ht="15.5">
      <c r="A148" s="8"/>
      <c r="B148" s="9"/>
      <c r="C148" s="3"/>
      <c r="D148" s="22"/>
      <c r="E148" s="4"/>
      <c r="F148" s="4"/>
      <c r="G148" s="5"/>
      <c r="H148" s="5"/>
    </row>
    <row r="149" spans="1:8" ht="15.5">
      <c r="A149" s="8"/>
      <c r="B149" s="9"/>
      <c r="C149" s="3"/>
      <c r="D149" s="22"/>
      <c r="E149" s="4"/>
      <c r="F149" s="4"/>
      <c r="G149" s="5"/>
      <c r="H149" s="5"/>
    </row>
    <row r="150" spans="1:8" ht="15.5">
      <c r="A150" s="8"/>
      <c r="B150" s="9"/>
      <c r="C150" s="3"/>
      <c r="D150" s="22"/>
      <c r="E150" s="4"/>
      <c r="F150" s="4"/>
      <c r="G150" s="5"/>
      <c r="H150" s="5"/>
    </row>
    <row r="151" spans="1:8" ht="15.5">
      <c r="A151" s="8"/>
      <c r="B151" s="9"/>
      <c r="C151" s="3"/>
      <c r="D151" s="22"/>
      <c r="E151" s="4"/>
      <c r="F151" s="4"/>
      <c r="G151" s="5"/>
      <c r="H151" s="5"/>
    </row>
    <row r="152" spans="1:8" ht="15.5">
      <c r="A152" s="8"/>
      <c r="B152" s="9"/>
      <c r="C152" s="3"/>
      <c r="D152" s="22"/>
      <c r="E152" s="4"/>
      <c r="F152" s="4"/>
      <c r="G152" s="5"/>
      <c r="H152" s="5"/>
    </row>
    <row r="153" spans="1:8" ht="15.5">
      <c r="A153" s="8"/>
      <c r="B153" s="9"/>
      <c r="C153" s="3"/>
      <c r="D153" s="22"/>
      <c r="E153" s="4"/>
      <c r="F153" s="4"/>
      <c r="G153" s="5"/>
      <c r="H153" s="5"/>
    </row>
    <row r="154" spans="1:8" ht="15.5">
      <c r="A154" s="8"/>
      <c r="B154" s="9"/>
      <c r="C154" s="3"/>
      <c r="D154" s="22"/>
      <c r="E154" s="4"/>
      <c r="F154" s="4"/>
      <c r="G154" s="5"/>
      <c r="H154" s="5"/>
    </row>
    <row r="155" spans="1:8" ht="15.5">
      <c r="A155" s="8"/>
      <c r="B155" s="9"/>
      <c r="C155" s="3"/>
      <c r="D155" s="22"/>
      <c r="E155" s="4"/>
      <c r="F155" s="4"/>
      <c r="G155" s="5"/>
      <c r="H155" s="5"/>
    </row>
    <row r="156" spans="1:8" ht="15.5">
      <c r="A156" s="8"/>
      <c r="B156" s="9"/>
      <c r="C156" s="3"/>
      <c r="D156" s="22"/>
      <c r="E156" s="4"/>
      <c r="F156" s="4"/>
      <c r="G156" s="5"/>
      <c r="H156" s="5"/>
    </row>
    <row r="157" spans="1:8" ht="15.5">
      <c r="A157" s="8"/>
      <c r="B157" s="9"/>
      <c r="C157" s="3"/>
      <c r="D157" s="22"/>
      <c r="E157" s="4"/>
      <c r="F157" s="4"/>
      <c r="G157" s="5"/>
      <c r="H157" s="5"/>
    </row>
    <row r="158" spans="1:8" ht="15.5">
      <c r="A158" s="8"/>
      <c r="B158" s="9"/>
      <c r="C158" s="3"/>
      <c r="D158" s="22"/>
      <c r="E158" s="4"/>
      <c r="F158" s="4"/>
      <c r="G158" s="5"/>
      <c r="H158" s="5"/>
    </row>
    <row r="159" spans="1:8" ht="15.5">
      <c r="A159" s="8"/>
      <c r="B159" s="9"/>
      <c r="C159" s="3"/>
      <c r="D159" s="22"/>
      <c r="E159" s="4"/>
      <c r="F159" s="4"/>
      <c r="G159" s="5"/>
      <c r="H159" s="5"/>
    </row>
    <row r="160" spans="1:8" ht="15.5">
      <c r="A160" s="8"/>
      <c r="B160" s="9"/>
      <c r="C160" s="3"/>
      <c r="D160" s="22"/>
      <c r="E160" s="4"/>
      <c r="F160" s="4"/>
      <c r="G160" s="5"/>
      <c r="H160" s="5"/>
    </row>
    <row r="161" spans="1:8" ht="15.5">
      <c r="A161" s="8"/>
      <c r="B161" s="9"/>
      <c r="C161" s="3"/>
      <c r="D161" s="22"/>
      <c r="E161" s="17"/>
      <c r="F161" s="4"/>
      <c r="G161" s="5"/>
      <c r="H161" s="5"/>
    </row>
    <row r="162" spans="1:8" ht="15.5">
      <c r="A162" s="13"/>
      <c r="B162" s="12"/>
      <c r="C162" s="3"/>
      <c r="D162" s="22"/>
    </row>
    <row r="163" spans="1:8" ht="15.5">
      <c r="A163" s="8"/>
      <c r="B163" s="9"/>
      <c r="C163" s="3"/>
      <c r="D163" s="22"/>
      <c r="G163" s="2">
        <v>250</v>
      </c>
      <c r="H163" s="11">
        <f>+F163*G163</f>
        <v>0</v>
      </c>
    </row>
    <row r="164" spans="1:8" ht="15.5">
      <c r="A164" s="8"/>
      <c r="B164" s="9"/>
      <c r="C164" s="3"/>
      <c r="D164" s="22"/>
      <c r="G164" s="2">
        <v>250</v>
      </c>
      <c r="H164" s="11">
        <f>+F164*G164</f>
        <v>0</v>
      </c>
    </row>
    <row r="165" spans="1:8" ht="15.5">
      <c r="A165" s="8"/>
      <c r="B165" s="9"/>
      <c r="C165" s="3"/>
      <c r="D165" s="22"/>
    </row>
    <row r="166" spans="1:8" ht="15.5">
      <c r="A166" s="8"/>
      <c r="B166" s="9"/>
      <c r="C166" s="3"/>
      <c r="D166" s="22"/>
    </row>
    <row r="167" spans="1:8" ht="15.5">
      <c r="A167" s="8"/>
      <c r="B167" s="9"/>
      <c r="C167" s="3"/>
      <c r="D167" s="22"/>
    </row>
    <row r="168" spans="1:8" ht="15.5">
      <c r="A168" s="23"/>
      <c r="B168" s="5"/>
      <c r="C168" s="18"/>
      <c r="D168" s="22"/>
    </row>
    <row r="169" spans="1:8" ht="15.5">
      <c r="A169" s="8"/>
      <c r="B169" s="9"/>
      <c r="C169" s="3"/>
      <c r="D169" s="22"/>
      <c r="H169">
        <v>15000</v>
      </c>
    </row>
    <row r="170" spans="1:8" ht="15.5">
      <c r="A170" s="8"/>
      <c r="B170" s="9"/>
      <c r="C170" s="3"/>
      <c r="D170" s="22"/>
    </row>
    <row r="171" spans="1:8" ht="15.5">
      <c r="A171" s="23"/>
      <c r="B171" s="5"/>
      <c r="C171" s="18"/>
      <c r="D171" s="22"/>
    </row>
    <row r="172" spans="1:8" ht="15.5">
      <c r="A172" s="13"/>
      <c r="B172" s="12"/>
      <c r="C172" s="3"/>
      <c r="D172" s="22"/>
    </row>
    <row r="173" spans="1:8" ht="15.5">
      <c r="A173" s="8"/>
      <c r="B173" s="9"/>
      <c r="C173" s="3"/>
      <c r="D173" s="22"/>
    </row>
    <row r="174" spans="1:8" ht="15.5">
      <c r="A174" s="8"/>
      <c r="B174" s="9"/>
      <c r="C174" s="3"/>
      <c r="D174" s="22"/>
    </row>
    <row r="175" spans="1:8" ht="15.5">
      <c r="A175" s="8"/>
      <c r="B175" s="9"/>
      <c r="C175" s="3"/>
      <c r="D175" s="22"/>
    </row>
    <row r="176" spans="1:8" ht="15.5">
      <c r="A176" s="8"/>
      <c r="B176" s="9"/>
      <c r="C176" s="3"/>
      <c r="D176" s="22"/>
    </row>
    <row r="177" spans="1:8" ht="15.5">
      <c r="A177" s="8"/>
      <c r="B177" s="9"/>
      <c r="C177" s="3"/>
      <c r="D177" s="22"/>
    </row>
    <row r="178" spans="1:8" ht="15.5">
      <c r="A178" s="8"/>
      <c r="B178" s="9"/>
      <c r="C178" s="3"/>
      <c r="D178" s="22"/>
      <c r="F178">
        <v>325000</v>
      </c>
      <c r="G178" s="24">
        <v>3.4200000000000001E-2</v>
      </c>
      <c r="H178" s="11">
        <f>+F178*G178</f>
        <v>11115</v>
      </c>
    </row>
    <row r="179" spans="1:8" ht="15.5">
      <c r="A179" s="8"/>
      <c r="B179" s="9"/>
      <c r="C179" s="3"/>
      <c r="D179" s="22"/>
      <c r="F179">
        <v>1325000</v>
      </c>
      <c r="G179" s="25">
        <v>3.4200000000000001E-2</v>
      </c>
      <c r="H179" s="11">
        <f>+F179*G179</f>
        <v>45315</v>
      </c>
    </row>
    <row r="180" spans="1:8" ht="15.5">
      <c r="A180" s="8"/>
      <c r="B180" s="9"/>
      <c r="C180" s="3"/>
      <c r="D180" s="22"/>
    </row>
    <row r="181" spans="1:8" ht="15.5">
      <c r="A181" s="8"/>
      <c r="B181" s="9"/>
      <c r="C181" s="3"/>
      <c r="D181" s="22"/>
    </row>
    <row r="182" spans="1:8" ht="15.5">
      <c r="A182" s="8"/>
      <c r="B182" s="9"/>
      <c r="C182" s="3"/>
      <c r="D182" s="10"/>
      <c r="F182">
        <f>250*5300</f>
        <v>1325000</v>
      </c>
      <c r="H182">
        <f>SUM(H169:H181)</f>
        <v>71430</v>
      </c>
    </row>
    <row r="183" spans="1:8" ht="15.5">
      <c r="A183" s="8"/>
      <c r="B183" s="9"/>
      <c r="C183" s="3"/>
    </row>
    <row r="184" spans="1:8" ht="15.5">
      <c r="A184" s="8"/>
      <c r="B184" s="9"/>
      <c r="C184" s="3"/>
    </row>
    <row r="185" spans="1:8" ht="15.5">
      <c r="A185" s="8"/>
      <c r="B185" s="9"/>
      <c r="C185" s="3"/>
    </row>
    <row r="186" spans="1:8" ht="15.5">
      <c r="A186" s="8"/>
      <c r="B186" s="9"/>
      <c r="C186" s="3"/>
    </row>
    <row r="187" spans="1:8" ht="15.5">
      <c r="A187" s="8"/>
      <c r="B187" s="9"/>
      <c r="C187" s="3"/>
    </row>
    <row r="188" spans="1:8" ht="15.5">
      <c r="A188" s="8"/>
      <c r="B188" s="9"/>
      <c r="C188" s="3"/>
    </row>
    <row r="189" spans="1:8" ht="15.5">
      <c r="A189" s="8"/>
      <c r="B189" s="9"/>
      <c r="C189" s="3"/>
    </row>
    <row r="190" spans="1:8" ht="15.5">
      <c r="A190" s="8"/>
      <c r="B190" s="9"/>
      <c r="C190" s="3"/>
    </row>
    <row r="191" spans="1:8" ht="15.5">
      <c r="A191" s="8"/>
      <c r="B191" s="9"/>
      <c r="C191" s="3"/>
    </row>
    <row r="192" spans="1:8" ht="15.5">
      <c r="A192" s="8"/>
      <c r="B192" s="9"/>
      <c r="C192" s="3"/>
    </row>
    <row r="193" spans="1:3" ht="15.5">
      <c r="A193" s="8"/>
      <c r="B193" s="9"/>
      <c r="C193" s="3"/>
    </row>
    <row r="194" spans="1:3" ht="15.5">
      <c r="A194" s="8"/>
      <c r="B194" s="9"/>
      <c r="C194" s="3"/>
    </row>
    <row r="195" spans="1:3" ht="15.5">
      <c r="A195" s="8"/>
      <c r="B195" s="12"/>
      <c r="C195" s="14"/>
    </row>
    <row r="196" spans="1:3">
      <c r="A196" s="13"/>
      <c r="C196" s="16"/>
    </row>
    <row r="197" spans="1:3">
      <c r="A197" s="13"/>
      <c r="B197" s="12"/>
      <c r="C197" s="14"/>
    </row>
    <row r="198" spans="1:3">
      <c r="A198" s="13"/>
      <c r="B198" s="12"/>
      <c r="C198" s="14"/>
    </row>
    <row r="199" spans="1:3">
      <c r="A199" s="13"/>
      <c r="B199" s="12"/>
      <c r="C199" s="14"/>
    </row>
    <row r="200" spans="1:3">
      <c r="A200" s="13"/>
      <c r="B200" s="12"/>
      <c r="C200" s="14"/>
    </row>
    <row r="201" spans="1:3">
      <c r="A201" s="13"/>
      <c r="B201" s="12"/>
      <c r="C201" s="14"/>
    </row>
    <row r="202" spans="1:3" ht="15.5">
      <c r="A202" s="8"/>
      <c r="B202" s="9"/>
      <c r="C202" s="3"/>
    </row>
    <row r="203" spans="1:3" ht="15.5">
      <c r="A203" s="8"/>
      <c r="B203" s="9"/>
      <c r="C203" s="3"/>
    </row>
    <row r="204" spans="1:3" ht="15.5">
      <c r="A204" s="8"/>
      <c r="B204" s="9"/>
      <c r="C204" s="3"/>
    </row>
    <row r="205" spans="1:3" ht="15.5">
      <c r="A205" s="8"/>
      <c r="B205" s="9"/>
      <c r="C205" s="3"/>
    </row>
  </sheetData>
  <mergeCells count="2">
    <mergeCell ref="A1:C1"/>
    <mergeCell ref="G2:H2"/>
  </mergeCells>
  <pageMargins left="0.7" right="0.7" top="0.75" bottom="0.75" header="0.511811023622047" footer="0.511811023622047"/>
  <pageSetup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5"/>
  <sheetViews>
    <sheetView topLeftCell="A10" zoomScaleNormal="100" workbookViewId="0">
      <selection activeCell="S41" sqref="S41"/>
    </sheetView>
  </sheetViews>
  <sheetFormatPr baseColWidth="10" defaultColWidth="8.7265625" defaultRowHeight="14.5"/>
  <cols>
    <col min="1" max="1" width="7.54296875" customWidth="1"/>
    <col min="2" max="2" width="17.81640625" style="2" customWidth="1"/>
    <col min="3" max="3" width="25.1796875" customWidth="1"/>
    <col min="4" max="4" width="11.81640625" customWidth="1"/>
    <col min="5" max="5" width="11.453125" customWidth="1"/>
    <col min="6" max="6" width="30.453125" customWidth="1"/>
    <col min="7" max="7" width="25.81640625" style="2" customWidth="1"/>
    <col min="8" max="8" width="15.1796875" customWidth="1"/>
    <col min="9" max="9" width="11.1796875" style="2" customWidth="1"/>
    <col min="10" max="10" width="14.81640625" customWidth="1"/>
  </cols>
  <sheetData>
    <row r="1" spans="1:8" ht="15.5">
      <c r="A1" s="209" t="s">
        <v>0</v>
      </c>
      <c r="B1" s="209"/>
      <c r="C1" s="209"/>
      <c r="D1" s="3"/>
      <c r="E1" s="4"/>
      <c r="F1" s="4"/>
      <c r="G1" s="5"/>
      <c r="H1" s="5"/>
    </row>
    <row r="2" spans="1:8" ht="15.5">
      <c r="A2" s="6" t="s">
        <v>1</v>
      </c>
      <c r="B2" s="7" t="s">
        <v>2</v>
      </c>
      <c r="C2" s="6" t="s">
        <v>3</v>
      </c>
      <c r="D2" s="3"/>
      <c r="E2" s="4"/>
      <c r="F2" s="4"/>
      <c r="G2" s="210" t="s">
        <v>4</v>
      </c>
      <c r="H2" s="210"/>
    </row>
    <row r="3" spans="1:8" ht="15.5">
      <c r="A3" s="8">
        <v>45356</v>
      </c>
      <c r="B3" s="9">
        <v>-48998</v>
      </c>
      <c r="C3" s="3" t="s">
        <v>202</v>
      </c>
      <c r="D3" s="10">
        <f>+B3</f>
        <v>-48998</v>
      </c>
      <c r="E3" s="4"/>
      <c r="F3" s="4"/>
      <c r="G3" s="9" t="s">
        <v>6</v>
      </c>
      <c r="H3" s="9">
        <v>20000</v>
      </c>
    </row>
    <row r="4" spans="1:8" ht="15.5">
      <c r="A4" s="8">
        <v>45354</v>
      </c>
      <c r="B4" s="2">
        <v>-2500</v>
      </c>
      <c r="C4" t="s">
        <v>203</v>
      </c>
      <c r="D4" s="11">
        <f>+D3+B4</f>
        <v>-51498</v>
      </c>
      <c r="E4" s="4"/>
      <c r="F4" s="4"/>
      <c r="G4" s="9" t="s">
        <v>7</v>
      </c>
      <c r="H4" s="9">
        <v>30000</v>
      </c>
    </row>
    <row r="5" spans="1:8" ht="15.5">
      <c r="A5" s="8">
        <v>45352</v>
      </c>
      <c r="B5" s="9">
        <v>-1300</v>
      </c>
      <c r="C5" s="3" t="s">
        <v>204</v>
      </c>
      <c r="D5" s="11">
        <f>+D4+B5</f>
        <v>-52798</v>
      </c>
      <c r="E5" s="4"/>
      <c r="F5" s="4"/>
      <c r="G5" s="9" t="s">
        <v>9</v>
      </c>
      <c r="H5" s="9">
        <v>40000</v>
      </c>
    </row>
    <row r="6" spans="1:8" ht="15.5">
      <c r="A6" s="8">
        <v>45352</v>
      </c>
      <c r="B6" s="9">
        <f>-750*59</f>
        <v>-44250</v>
      </c>
      <c r="C6" s="3" t="s">
        <v>200</v>
      </c>
      <c r="D6" s="11">
        <f>+D5+B6</f>
        <v>-97048</v>
      </c>
      <c r="E6" s="4"/>
      <c r="F6" s="4"/>
      <c r="G6" s="9" t="s">
        <v>11</v>
      </c>
      <c r="H6" s="9">
        <v>5000</v>
      </c>
    </row>
    <row r="7" spans="1:8" ht="15.5">
      <c r="A7" s="8">
        <v>45359</v>
      </c>
      <c r="B7" s="9">
        <v>-24000</v>
      </c>
      <c r="C7" s="3" t="s">
        <v>205</v>
      </c>
      <c r="D7" s="11"/>
      <c r="E7" s="4"/>
      <c r="F7" s="4"/>
      <c r="G7" s="9"/>
      <c r="H7" s="9"/>
    </row>
    <row r="8" spans="1:8" ht="15.5">
      <c r="A8" s="8">
        <v>45362</v>
      </c>
      <c r="B8" s="9">
        <v>-1200</v>
      </c>
      <c r="C8" s="3" t="s">
        <v>206</v>
      </c>
      <c r="D8" s="11"/>
      <c r="E8" s="4"/>
      <c r="F8" s="4"/>
      <c r="G8" s="9" t="s">
        <v>13</v>
      </c>
      <c r="H8" s="9">
        <v>3000</v>
      </c>
    </row>
    <row r="9" spans="1:8" ht="15.5">
      <c r="A9" s="8">
        <v>45362</v>
      </c>
      <c r="B9" s="12">
        <f>-29*59</f>
        <v>-1711</v>
      </c>
      <c r="C9" s="3" t="s">
        <v>207</v>
      </c>
      <c r="D9" s="11"/>
      <c r="E9" s="4">
        <v>105000</v>
      </c>
      <c r="F9" s="4" t="s">
        <v>104</v>
      </c>
      <c r="G9" s="9" t="s">
        <v>15</v>
      </c>
      <c r="H9" s="9">
        <v>5000</v>
      </c>
    </row>
    <row r="10" spans="1:8" ht="15.5">
      <c r="A10" s="8">
        <v>45360</v>
      </c>
      <c r="B10" s="9">
        <v>-1200</v>
      </c>
      <c r="C10" s="3" t="s">
        <v>208</v>
      </c>
      <c r="D10" s="11"/>
      <c r="E10" s="4">
        <v>12000</v>
      </c>
      <c r="F10" s="4" t="s">
        <v>106</v>
      </c>
      <c r="G10" s="9" t="s">
        <v>18</v>
      </c>
      <c r="H10" s="9">
        <v>1500</v>
      </c>
    </row>
    <row r="11" spans="1:8" ht="15.5">
      <c r="A11" s="8">
        <v>45359</v>
      </c>
      <c r="B11" s="9">
        <v>-3000</v>
      </c>
      <c r="C11" s="3" t="s">
        <v>72</v>
      </c>
      <c r="D11" s="11"/>
      <c r="E11" s="4">
        <v>8000</v>
      </c>
      <c r="F11" s="4" t="s">
        <v>106</v>
      </c>
      <c r="G11" s="9" t="s">
        <v>19</v>
      </c>
      <c r="H11" s="9">
        <v>10000</v>
      </c>
    </row>
    <row r="12" spans="1:8" ht="15.5">
      <c r="A12" s="8">
        <v>45364</v>
      </c>
      <c r="B12" s="5">
        <v>-1000</v>
      </c>
      <c r="C12" s="18" t="s">
        <v>209</v>
      </c>
      <c r="D12" s="11"/>
      <c r="E12" s="4">
        <v>15000</v>
      </c>
      <c r="F12" s="4" t="s">
        <v>34</v>
      </c>
      <c r="G12" s="9" t="s">
        <v>21</v>
      </c>
      <c r="H12" s="9">
        <v>1500</v>
      </c>
    </row>
    <row r="13" spans="1:8" ht="15.5">
      <c r="A13" s="8">
        <v>45364</v>
      </c>
      <c r="B13" s="9">
        <v>-3000</v>
      </c>
      <c r="C13" s="3" t="s">
        <v>203</v>
      </c>
      <c r="D13" s="11"/>
      <c r="E13" s="4"/>
      <c r="F13" s="4"/>
      <c r="G13" s="9" t="s">
        <v>23</v>
      </c>
      <c r="H13" s="9">
        <v>25000</v>
      </c>
    </row>
    <row r="14" spans="1:8" ht="15.5">
      <c r="A14" s="8">
        <v>45364</v>
      </c>
      <c r="B14" s="9">
        <v>-3300</v>
      </c>
      <c r="C14" s="3" t="s">
        <v>6</v>
      </c>
      <c r="D14" s="11"/>
      <c r="E14" s="4"/>
      <c r="F14" s="4"/>
      <c r="G14" s="9" t="s">
        <v>25</v>
      </c>
      <c r="H14" s="9">
        <v>1500</v>
      </c>
    </row>
    <row r="15" spans="1:8" ht="15.5">
      <c r="A15" s="8">
        <v>45364</v>
      </c>
      <c r="B15" s="9">
        <v>-1000</v>
      </c>
      <c r="C15" s="3" t="s">
        <v>210</v>
      </c>
      <c r="D15" s="11"/>
      <c r="E15" s="4"/>
      <c r="F15" s="4"/>
      <c r="G15" s="9"/>
      <c r="H15" s="9"/>
    </row>
    <row r="16" spans="1:8" ht="15.5">
      <c r="A16" s="8">
        <v>45364</v>
      </c>
      <c r="B16" s="12">
        <v>-2900</v>
      </c>
      <c r="C16" s="14" t="s">
        <v>211</v>
      </c>
      <c r="D16" s="11"/>
      <c r="E16" s="4">
        <f>SUM(E9:E15)</f>
        <v>140000</v>
      </c>
      <c r="F16" s="4"/>
      <c r="G16" s="9"/>
      <c r="H16" s="9"/>
    </row>
    <row r="17" spans="1:8" ht="15.5">
      <c r="A17" s="8">
        <v>45368</v>
      </c>
      <c r="B17" s="12">
        <v>-4000</v>
      </c>
      <c r="C17" s="14" t="s">
        <v>212</v>
      </c>
      <c r="D17" s="11"/>
      <c r="E17" s="4"/>
      <c r="F17" s="4"/>
      <c r="G17" s="15" t="s">
        <v>27</v>
      </c>
      <c r="H17" s="15">
        <f>SUM(H3:H15)</f>
        <v>142500</v>
      </c>
    </row>
    <row r="18" spans="1:8" ht="15.5">
      <c r="A18" s="8">
        <v>45367</v>
      </c>
      <c r="B18" s="9">
        <v>-1200</v>
      </c>
      <c r="C18" s="3" t="s">
        <v>53</v>
      </c>
      <c r="D18" s="11"/>
      <c r="E18" s="4"/>
      <c r="F18" s="4"/>
      <c r="G18" s="5" t="s">
        <v>29</v>
      </c>
      <c r="H18" s="5">
        <f>+H17/54</f>
        <v>2638.8888888888887</v>
      </c>
    </row>
    <row r="19" spans="1:8" ht="15.5">
      <c r="A19" s="8">
        <v>45367</v>
      </c>
      <c r="B19" s="9">
        <v>-1800</v>
      </c>
      <c r="C19" s="3" t="s">
        <v>33</v>
      </c>
      <c r="D19" s="11"/>
      <c r="E19" s="4"/>
      <c r="F19" s="4"/>
      <c r="G19" s="5"/>
      <c r="H19" s="5"/>
    </row>
    <row r="20" spans="1:8" ht="15.5">
      <c r="A20" s="8">
        <v>45370</v>
      </c>
      <c r="B20" s="12">
        <v>-52564</v>
      </c>
      <c r="C20" s="3" t="s">
        <v>213</v>
      </c>
      <c r="D20" s="11"/>
      <c r="E20" s="4"/>
      <c r="F20" s="4"/>
      <c r="G20" s="5"/>
      <c r="H20" s="5"/>
    </row>
    <row r="21" spans="1:8" ht="15.5">
      <c r="A21" s="8">
        <v>45370</v>
      </c>
      <c r="B21" s="5">
        <v>-65000</v>
      </c>
      <c r="C21" s="18" t="s">
        <v>198</v>
      </c>
      <c r="D21" s="11"/>
      <c r="E21" s="4"/>
      <c r="F21" s="4"/>
      <c r="G21" s="5" t="s">
        <v>77</v>
      </c>
      <c r="H21" s="5"/>
    </row>
    <row r="22" spans="1:8" ht="15.5">
      <c r="A22" s="8">
        <v>45372</v>
      </c>
      <c r="B22" s="9">
        <f>-300*58.7</f>
        <v>-17610</v>
      </c>
      <c r="C22" s="3" t="s">
        <v>200</v>
      </c>
      <c r="D22" s="11"/>
      <c r="E22" s="4"/>
      <c r="F22" s="4"/>
      <c r="G22" s="5" t="s">
        <v>78</v>
      </c>
      <c r="H22" s="5">
        <f>1100*55</f>
        <v>60500</v>
      </c>
    </row>
    <row r="23" spans="1:8" ht="15.5">
      <c r="A23" s="8">
        <v>45372</v>
      </c>
      <c r="B23" s="12">
        <v>-900</v>
      </c>
      <c r="C23" s="14" t="s">
        <v>25</v>
      </c>
      <c r="D23" s="11"/>
      <c r="E23" s="4">
        <v>201000</v>
      </c>
      <c r="F23" s="4"/>
      <c r="G23" s="5" t="s">
        <v>79</v>
      </c>
      <c r="H23" s="5">
        <v>27000</v>
      </c>
    </row>
    <row r="24" spans="1:8" ht="15.5">
      <c r="A24" s="8">
        <v>45372</v>
      </c>
      <c r="B24" s="12">
        <v>-1000</v>
      </c>
      <c r="C24" s="14" t="s">
        <v>214</v>
      </c>
      <c r="D24" s="11"/>
      <c r="E24" s="4"/>
      <c r="F24" s="4"/>
      <c r="G24" s="5"/>
      <c r="H24" s="5"/>
    </row>
    <row r="25" spans="1:8" ht="15.5">
      <c r="A25" s="8">
        <v>45372</v>
      </c>
      <c r="B25" s="12">
        <v>-12000</v>
      </c>
      <c r="C25" s="14" t="s">
        <v>215</v>
      </c>
      <c r="D25" s="11"/>
      <c r="E25" s="4"/>
      <c r="F25" s="4"/>
      <c r="G25" s="5" t="s">
        <v>27</v>
      </c>
      <c r="H25" s="17">
        <f>SUM(H22:H24)</f>
        <v>87500</v>
      </c>
    </row>
    <row r="26" spans="1:8" ht="15.5">
      <c r="A26" s="8">
        <v>45373</v>
      </c>
      <c r="B26" s="9">
        <v>-19630</v>
      </c>
      <c r="C26" s="3" t="s">
        <v>216</v>
      </c>
      <c r="D26" s="11"/>
      <c r="E26" s="4"/>
      <c r="F26" s="4"/>
      <c r="G26" s="5"/>
      <c r="H26" s="4"/>
    </row>
    <row r="27" spans="1:8" ht="15.5">
      <c r="A27" s="8">
        <v>45373</v>
      </c>
      <c r="B27" s="9">
        <v>-30000</v>
      </c>
      <c r="C27" s="3" t="s">
        <v>217</v>
      </c>
      <c r="D27" s="11"/>
      <c r="E27" s="4"/>
      <c r="F27" s="4"/>
      <c r="G27" s="5"/>
      <c r="H27" s="4"/>
    </row>
    <row r="28" spans="1:8" ht="15.5">
      <c r="A28" s="8">
        <v>45379</v>
      </c>
      <c r="B28" s="9">
        <v>-3500</v>
      </c>
      <c r="C28" s="3" t="s">
        <v>218</v>
      </c>
      <c r="D28" s="11"/>
      <c r="E28" s="4"/>
      <c r="F28" s="4" t="s">
        <v>80</v>
      </c>
      <c r="G28" s="5"/>
      <c r="H28" s="4"/>
    </row>
    <row r="29" spans="1:8" ht="15.5">
      <c r="A29" s="8"/>
      <c r="B29" s="5"/>
      <c r="C29" s="18"/>
      <c r="D29" s="11"/>
      <c r="E29" s="4"/>
      <c r="F29" s="4" t="s">
        <v>81</v>
      </c>
      <c r="G29" s="5">
        <f>4700*56</f>
        <v>263200</v>
      </c>
      <c r="H29" s="5"/>
    </row>
    <row r="30" spans="1:8" ht="15.5">
      <c r="A30" s="8"/>
      <c r="C30" s="18"/>
      <c r="D30" s="11"/>
      <c r="E30" s="4"/>
      <c r="F30" s="4" t="s">
        <v>82</v>
      </c>
      <c r="G30" s="5">
        <v>10000</v>
      </c>
      <c r="H30" s="5"/>
    </row>
    <row r="31" spans="1:8" ht="15.5">
      <c r="A31" s="8"/>
      <c r="B31" s="9"/>
      <c r="C31" s="3"/>
      <c r="D31" s="11"/>
      <c r="E31" s="4"/>
      <c r="F31" s="4" t="s">
        <v>83</v>
      </c>
      <c r="G31" s="5">
        <v>25000</v>
      </c>
      <c r="H31" s="5"/>
    </row>
    <row r="32" spans="1:8" ht="15.5">
      <c r="A32" s="8"/>
      <c r="B32" s="9"/>
      <c r="C32" s="3"/>
      <c r="D32" s="11"/>
      <c r="E32" s="4"/>
      <c r="F32" s="17" t="s">
        <v>84</v>
      </c>
      <c r="G32" s="5">
        <v>35000</v>
      </c>
      <c r="H32" s="5"/>
    </row>
    <row r="33" spans="1:8" ht="15.5">
      <c r="A33" s="8"/>
      <c r="B33" s="9"/>
      <c r="C33" s="3"/>
      <c r="D33" s="11"/>
      <c r="E33" s="4"/>
      <c r="F33" s="4" t="s">
        <v>85</v>
      </c>
      <c r="G33" s="5">
        <v>9000</v>
      </c>
      <c r="H33" s="5"/>
    </row>
    <row r="34" spans="1:8" ht="15.5">
      <c r="A34" s="8"/>
      <c r="B34" s="9"/>
      <c r="C34" s="3"/>
      <c r="D34" s="11"/>
      <c r="E34" s="4"/>
      <c r="F34" s="4" t="s">
        <v>86</v>
      </c>
      <c r="G34" s="5">
        <v>9000</v>
      </c>
      <c r="H34" s="5"/>
    </row>
    <row r="35" spans="1:8" ht="15.5">
      <c r="A35" s="8"/>
      <c r="B35" s="9"/>
      <c r="C35" s="3"/>
      <c r="D35" s="11"/>
      <c r="E35" s="4"/>
      <c r="F35" s="4"/>
      <c r="G35" s="5"/>
      <c r="H35" s="5"/>
    </row>
    <row r="36" spans="1:8" ht="15.5">
      <c r="A36" s="8"/>
      <c r="B36" s="9"/>
      <c r="C36" s="3"/>
      <c r="D36" s="11"/>
      <c r="E36" s="4"/>
      <c r="F36" s="4"/>
      <c r="G36" s="5"/>
      <c r="H36" s="5"/>
    </row>
    <row r="37" spans="1:8" ht="15.5">
      <c r="A37" s="8"/>
      <c r="B37" s="9"/>
      <c r="C37" s="3"/>
      <c r="D37" s="11"/>
      <c r="E37" s="4"/>
      <c r="F37" s="4"/>
      <c r="G37" s="5"/>
      <c r="H37" s="5"/>
    </row>
    <row r="38" spans="1:8" ht="15.5">
      <c r="A38" s="8"/>
      <c r="B38" s="9"/>
      <c r="C38" s="3"/>
      <c r="D38" s="11"/>
      <c r="E38" s="4"/>
      <c r="F38" s="26" t="s">
        <v>87</v>
      </c>
      <c r="G38" s="26"/>
      <c r="H38" s="5"/>
    </row>
    <row r="39" spans="1:8" ht="15.5">
      <c r="A39" s="8"/>
      <c r="B39" s="9"/>
      <c r="C39" s="3"/>
      <c r="D39" s="11"/>
      <c r="E39" s="4"/>
      <c r="F39" s="26" t="s">
        <v>88</v>
      </c>
      <c r="G39" s="26" t="s">
        <v>89</v>
      </c>
      <c r="H39" s="5"/>
    </row>
    <row r="40" spans="1:8" ht="15.5">
      <c r="A40" s="8"/>
      <c r="B40" s="9"/>
      <c r="C40" s="3"/>
      <c r="D40" s="11"/>
      <c r="E40" s="4"/>
      <c r="F40" s="27">
        <v>1</v>
      </c>
      <c r="G40" s="26">
        <v>1163</v>
      </c>
      <c r="H40" s="5"/>
    </row>
    <row r="41" spans="1:8" ht="15.5">
      <c r="A41" s="8"/>
      <c r="B41" s="9"/>
      <c r="C41" s="3"/>
      <c r="D41" s="11"/>
      <c r="E41" s="4"/>
      <c r="F41" s="27">
        <v>2</v>
      </c>
      <c r="G41" s="26">
        <v>1133</v>
      </c>
      <c r="H41" s="5"/>
    </row>
    <row r="42" spans="1:8" ht="15.5">
      <c r="A42" s="8"/>
      <c r="B42" s="9"/>
      <c r="C42" s="3"/>
      <c r="D42" s="11"/>
      <c r="E42" s="4"/>
      <c r="F42" s="27">
        <v>3</v>
      </c>
      <c r="G42" s="26">
        <v>1150</v>
      </c>
      <c r="H42" s="5"/>
    </row>
    <row r="43" spans="1:8" ht="15.5">
      <c r="A43" s="8"/>
      <c r="B43" s="9"/>
      <c r="C43" s="3"/>
      <c r="D43" s="11"/>
      <c r="E43" s="4"/>
      <c r="F43" s="27">
        <v>4</v>
      </c>
      <c r="G43" s="26">
        <v>1233</v>
      </c>
      <c r="H43" s="5"/>
    </row>
    <row r="44" spans="1:8" ht="15.5">
      <c r="A44" s="8"/>
      <c r="B44" s="9"/>
      <c r="C44" s="3"/>
      <c r="D44" s="11"/>
      <c r="E44" s="4"/>
      <c r="F44" s="27">
        <v>5</v>
      </c>
      <c r="G44" s="26">
        <v>989</v>
      </c>
      <c r="H44" s="5"/>
    </row>
    <row r="45" spans="1:8" ht="15.5">
      <c r="A45" s="8"/>
      <c r="B45" s="9"/>
      <c r="C45" s="21"/>
      <c r="D45" s="11"/>
      <c r="E45" s="4"/>
      <c r="F45" s="27">
        <v>6</v>
      </c>
      <c r="G45" s="26">
        <v>953</v>
      </c>
      <c r="H45" s="5"/>
    </row>
    <row r="46" spans="1:8" ht="15.5">
      <c r="A46" s="8"/>
      <c r="B46" s="9"/>
      <c r="C46" s="3"/>
      <c r="D46" s="11"/>
      <c r="E46" s="4"/>
      <c r="F46" s="27">
        <v>7</v>
      </c>
      <c r="G46" s="26">
        <v>864</v>
      </c>
      <c r="H46" s="5"/>
    </row>
    <row r="47" spans="1:8" ht="15.5">
      <c r="A47" s="8"/>
      <c r="B47" s="9"/>
      <c r="C47" s="3"/>
      <c r="D47" s="11"/>
      <c r="E47" s="4"/>
      <c r="F47" s="27">
        <v>8</v>
      </c>
      <c r="G47" s="26">
        <v>710</v>
      </c>
      <c r="H47" s="5"/>
    </row>
    <row r="48" spans="1:8" ht="15.5">
      <c r="A48" s="8"/>
      <c r="B48" s="9"/>
      <c r="C48" s="3"/>
      <c r="D48" s="11">
        <f t="shared" ref="D48:D61" si="0">+D47+B48</f>
        <v>0</v>
      </c>
      <c r="E48" s="4"/>
      <c r="F48" s="28"/>
      <c r="G48" s="26"/>
      <c r="H48" s="5"/>
    </row>
    <row r="49" spans="1:8" ht="15.5">
      <c r="A49" s="8"/>
      <c r="B49" s="9"/>
      <c r="C49" s="3"/>
      <c r="D49" s="11">
        <f t="shared" si="0"/>
        <v>0</v>
      </c>
      <c r="E49" s="4"/>
      <c r="F49" s="26" t="s">
        <v>219</v>
      </c>
      <c r="G49" s="26">
        <f>SUM(G40:G48)</f>
        <v>8195</v>
      </c>
      <c r="H49" s="5"/>
    </row>
    <row r="50" spans="1:8" ht="15.5">
      <c r="A50" s="8"/>
      <c r="B50" s="9"/>
      <c r="C50" s="3"/>
      <c r="D50" s="11">
        <f t="shared" si="0"/>
        <v>0</v>
      </c>
      <c r="E50" s="4"/>
      <c r="F50" s="4"/>
      <c r="G50" s="5"/>
      <c r="H50" s="5"/>
    </row>
    <row r="51" spans="1:8" ht="15.5">
      <c r="A51" s="8"/>
      <c r="B51" s="9"/>
      <c r="C51" s="3"/>
      <c r="D51" s="11">
        <f t="shared" si="0"/>
        <v>0</v>
      </c>
      <c r="E51" s="4"/>
      <c r="F51" s="4"/>
      <c r="G51" s="5"/>
      <c r="H51" s="5"/>
    </row>
    <row r="52" spans="1:8" ht="15.5">
      <c r="A52" s="8"/>
      <c r="B52" s="9"/>
      <c r="C52" s="3"/>
      <c r="D52" s="11">
        <f t="shared" si="0"/>
        <v>0</v>
      </c>
      <c r="E52" s="4"/>
      <c r="F52" s="4"/>
      <c r="G52" s="5"/>
      <c r="H52" s="5"/>
    </row>
    <row r="53" spans="1:8" ht="15.5">
      <c r="A53" s="8"/>
      <c r="B53" s="9"/>
      <c r="C53" s="3"/>
      <c r="D53" s="11">
        <f t="shared" si="0"/>
        <v>0</v>
      </c>
      <c r="E53" s="4"/>
      <c r="F53" s="4"/>
      <c r="G53" s="5"/>
      <c r="H53" s="5"/>
    </row>
    <row r="54" spans="1:8" ht="15.5">
      <c r="A54" s="8"/>
      <c r="B54" s="9">
        <f>SUM(B9:B53)</f>
        <v>-226315</v>
      </c>
      <c r="C54" s="3"/>
      <c r="D54" s="11">
        <f t="shared" si="0"/>
        <v>-226315</v>
      </c>
      <c r="E54" s="4"/>
      <c r="F54" s="4"/>
      <c r="G54" s="5"/>
      <c r="H54" s="5"/>
    </row>
    <row r="55" spans="1:8" ht="15.5">
      <c r="A55" s="8"/>
      <c r="B55" s="9"/>
      <c r="C55" s="3"/>
      <c r="D55" s="11">
        <f t="shared" si="0"/>
        <v>-226315</v>
      </c>
      <c r="E55" s="4"/>
      <c r="F55" s="4"/>
      <c r="G55" s="5"/>
      <c r="H55" s="5"/>
    </row>
    <row r="56" spans="1:8" ht="15.5">
      <c r="A56" s="8"/>
      <c r="B56" s="9"/>
      <c r="C56" s="3"/>
      <c r="D56" s="11">
        <f t="shared" si="0"/>
        <v>-226315</v>
      </c>
      <c r="E56" s="4"/>
      <c r="F56" s="4"/>
      <c r="G56" s="5"/>
      <c r="H56" s="5"/>
    </row>
    <row r="57" spans="1:8" ht="15.5">
      <c r="A57" s="8"/>
      <c r="B57" s="9"/>
      <c r="C57" s="3"/>
      <c r="D57" s="11">
        <f t="shared" si="0"/>
        <v>-226315</v>
      </c>
      <c r="E57" s="4"/>
      <c r="F57" s="4"/>
      <c r="G57" s="5"/>
      <c r="H57" s="5"/>
    </row>
    <row r="58" spans="1:8" ht="15.5">
      <c r="A58" s="8"/>
      <c r="B58" s="9"/>
      <c r="C58" s="3"/>
      <c r="D58" s="11">
        <f t="shared" si="0"/>
        <v>-226315</v>
      </c>
      <c r="E58" s="4"/>
      <c r="F58" s="4"/>
      <c r="G58" s="5"/>
      <c r="H58" s="5"/>
    </row>
    <row r="59" spans="1:8" ht="15.5">
      <c r="A59" s="8"/>
      <c r="B59" s="9"/>
      <c r="C59" s="3"/>
      <c r="D59" s="11">
        <f t="shared" si="0"/>
        <v>-226315</v>
      </c>
      <c r="E59" s="4"/>
      <c r="F59" s="4"/>
      <c r="G59" s="5"/>
      <c r="H59" s="5"/>
    </row>
    <row r="60" spans="1:8" ht="15.5">
      <c r="A60" s="8"/>
      <c r="B60" s="9"/>
      <c r="C60" s="3"/>
      <c r="D60" s="11">
        <f t="shared" si="0"/>
        <v>-226315</v>
      </c>
      <c r="E60" s="4"/>
      <c r="F60" s="4"/>
      <c r="G60" s="5"/>
      <c r="H60" s="5"/>
    </row>
    <row r="61" spans="1:8" ht="15.5">
      <c r="A61" s="8"/>
      <c r="B61" s="9"/>
      <c r="C61" s="3"/>
      <c r="D61" s="11">
        <f t="shared" si="0"/>
        <v>-226315</v>
      </c>
      <c r="E61" s="4"/>
      <c r="F61" s="4"/>
      <c r="G61" s="5"/>
      <c r="H61" s="5"/>
    </row>
    <row r="62" spans="1:8" ht="15.5">
      <c r="A62" s="8"/>
      <c r="B62" s="9"/>
      <c r="C62" s="3"/>
      <c r="D62" s="22"/>
      <c r="E62" s="4"/>
      <c r="F62" s="4"/>
      <c r="G62" s="5"/>
      <c r="H62" s="5"/>
    </row>
    <row r="63" spans="1:8" ht="15.5">
      <c r="A63" s="8"/>
      <c r="B63" s="9"/>
      <c r="C63" s="3"/>
      <c r="D63" s="22"/>
      <c r="E63" s="4"/>
      <c r="F63" s="4"/>
      <c r="G63" s="5"/>
      <c r="H63" s="5"/>
    </row>
    <row r="64" spans="1:8" ht="15.5">
      <c r="A64" s="8"/>
      <c r="B64" s="9"/>
      <c r="C64" s="3"/>
      <c r="D64" s="22"/>
      <c r="E64" s="4"/>
      <c r="F64" s="4"/>
      <c r="G64" s="5"/>
      <c r="H64" s="5"/>
    </row>
    <row r="65" spans="1:10" ht="15.5">
      <c r="A65" s="8"/>
      <c r="B65" s="9"/>
      <c r="C65" s="3"/>
      <c r="D65" s="22"/>
      <c r="E65" s="4"/>
      <c r="F65" s="4"/>
      <c r="G65" s="5"/>
      <c r="H65" s="5"/>
    </row>
    <row r="66" spans="1:10" ht="15.5">
      <c r="A66" s="8"/>
      <c r="B66" s="9"/>
      <c r="C66" s="3"/>
      <c r="D66" s="22"/>
      <c r="E66" s="4"/>
      <c r="F66" s="4"/>
      <c r="G66" s="5"/>
      <c r="H66" s="5"/>
    </row>
    <row r="67" spans="1:10" ht="15.5">
      <c r="A67" s="8"/>
      <c r="B67" s="9"/>
      <c r="C67" s="3"/>
      <c r="D67" s="22"/>
      <c r="E67" s="4"/>
      <c r="F67" s="4"/>
      <c r="G67" s="5"/>
      <c r="H67" s="5"/>
    </row>
    <row r="68" spans="1:10" ht="15.5">
      <c r="A68" s="8"/>
      <c r="B68" s="9"/>
      <c r="C68" s="3"/>
      <c r="D68" s="22"/>
      <c r="E68" s="4"/>
      <c r="F68" s="4"/>
      <c r="G68" s="5"/>
      <c r="H68" s="5"/>
    </row>
    <row r="69" spans="1:10" ht="15.5">
      <c r="A69" s="8"/>
      <c r="B69" s="9"/>
      <c r="C69" s="3"/>
      <c r="D69" s="22"/>
      <c r="E69" s="4"/>
      <c r="F69" s="4"/>
      <c r="G69" s="5"/>
      <c r="H69" s="5"/>
    </row>
    <row r="70" spans="1:10" ht="15.5">
      <c r="A70" s="8">
        <v>45232</v>
      </c>
      <c r="B70" s="12"/>
      <c r="C70" s="14" t="s">
        <v>30</v>
      </c>
      <c r="D70" s="10">
        <f t="shared" ref="D70:D101" si="1">+D69+B70</f>
        <v>0</v>
      </c>
      <c r="E70" s="4"/>
      <c r="F70" s="4"/>
      <c r="G70" s="5"/>
      <c r="H70" s="5"/>
    </row>
    <row r="71" spans="1:10" ht="15.5">
      <c r="A71" s="8">
        <v>45232</v>
      </c>
      <c r="B71" s="12"/>
      <c r="C71" s="14" t="s">
        <v>19</v>
      </c>
      <c r="D71" s="10">
        <f t="shared" si="1"/>
        <v>0</v>
      </c>
      <c r="E71" s="4"/>
      <c r="F71" s="4"/>
      <c r="G71" s="5"/>
      <c r="H71" s="5"/>
    </row>
    <row r="72" spans="1:10" ht="15.5">
      <c r="A72" s="8">
        <v>45233</v>
      </c>
      <c r="B72" s="9">
        <v>-500</v>
      </c>
      <c r="C72" s="3" t="s">
        <v>31</v>
      </c>
      <c r="D72" s="10">
        <f t="shared" si="1"/>
        <v>-500</v>
      </c>
      <c r="E72" s="4"/>
      <c r="F72" s="4"/>
      <c r="G72" s="5"/>
      <c r="H72" s="5"/>
      <c r="J72" s="2"/>
    </row>
    <row r="73" spans="1:10" ht="15.5">
      <c r="A73" s="8">
        <v>45234</v>
      </c>
      <c r="B73" s="2">
        <v>-2300</v>
      </c>
      <c r="C73" s="16" t="s">
        <v>6</v>
      </c>
      <c r="D73" s="10">
        <f t="shared" si="1"/>
        <v>-2800</v>
      </c>
      <c r="E73" s="4"/>
      <c r="F73" s="4"/>
      <c r="G73" s="5"/>
      <c r="H73" s="5"/>
    </row>
    <row r="74" spans="1:10" ht="15.5">
      <c r="A74" s="8">
        <v>45234</v>
      </c>
      <c r="B74" s="12">
        <v>-1300</v>
      </c>
      <c r="C74" s="14" t="s">
        <v>32</v>
      </c>
      <c r="D74" s="10">
        <f t="shared" si="1"/>
        <v>-4100</v>
      </c>
      <c r="E74" s="4"/>
      <c r="F74" s="4"/>
      <c r="G74" s="5">
        <f>SUM(G29:G73)</f>
        <v>367590</v>
      </c>
      <c r="H74" s="5"/>
    </row>
    <row r="75" spans="1:10" ht="15.5">
      <c r="A75" s="8">
        <v>45234</v>
      </c>
      <c r="B75" s="12">
        <v>-1200</v>
      </c>
      <c r="C75" s="14" t="s">
        <v>33</v>
      </c>
      <c r="D75" s="10">
        <f t="shared" si="1"/>
        <v>-5300</v>
      </c>
      <c r="E75" s="4"/>
      <c r="F75" s="4"/>
      <c r="G75" s="5"/>
      <c r="H75" s="5"/>
      <c r="J75" s="11"/>
    </row>
    <row r="76" spans="1:10" ht="15.5">
      <c r="A76" s="8">
        <v>45235</v>
      </c>
      <c r="B76" s="9">
        <f>-300*56</f>
        <v>-16800</v>
      </c>
      <c r="C76" s="3" t="s">
        <v>34</v>
      </c>
      <c r="D76" s="10">
        <f t="shared" si="1"/>
        <v>-22100</v>
      </c>
      <c r="E76" s="4"/>
      <c r="F76" s="4"/>
      <c r="G76" s="5"/>
      <c r="H76" s="5"/>
    </row>
    <row r="77" spans="1:10" ht="15.5">
      <c r="A77" s="8">
        <v>45238</v>
      </c>
      <c r="B77" s="9">
        <v>-600</v>
      </c>
      <c r="C77" s="3" t="s">
        <v>35</v>
      </c>
      <c r="D77" s="10">
        <f t="shared" si="1"/>
        <v>-22700</v>
      </c>
      <c r="E77" s="4"/>
      <c r="F77" s="4"/>
      <c r="G77" s="5"/>
      <c r="H77" s="5"/>
    </row>
    <row r="78" spans="1:10" ht="15.5">
      <c r="A78" s="8">
        <v>45238</v>
      </c>
      <c r="B78" s="9"/>
      <c r="C78" s="3" t="s">
        <v>36</v>
      </c>
      <c r="D78" s="10">
        <f t="shared" si="1"/>
        <v>-22700</v>
      </c>
      <c r="E78" s="4"/>
      <c r="F78" s="4"/>
      <c r="G78" s="5"/>
      <c r="H78" s="5"/>
    </row>
    <row r="79" spans="1:10" ht="15.5">
      <c r="A79" s="8">
        <v>45238</v>
      </c>
      <c r="B79" s="9"/>
      <c r="C79" s="3" t="s">
        <v>37</v>
      </c>
      <c r="D79" s="10">
        <f t="shared" si="1"/>
        <v>-22700</v>
      </c>
      <c r="E79" s="4"/>
      <c r="F79" s="17"/>
      <c r="G79" s="5"/>
      <c r="H79" s="5"/>
    </row>
    <row r="80" spans="1:10" ht="15.5">
      <c r="A80" s="8">
        <v>45234</v>
      </c>
      <c r="B80" s="9">
        <v>-1424</v>
      </c>
      <c r="C80" s="3" t="s">
        <v>38</v>
      </c>
      <c r="D80" s="10">
        <f t="shared" si="1"/>
        <v>-24124</v>
      </c>
      <c r="E80" s="4"/>
      <c r="F80" s="4"/>
      <c r="G80" s="5"/>
      <c r="H80" s="5"/>
    </row>
    <row r="81" spans="1:10" ht="15.5">
      <c r="A81" s="8">
        <v>45238</v>
      </c>
      <c r="B81" s="9"/>
      <c r="C81" s="3"/>
      <c r="D81" s="10">
        <f t="shared" si="1"/>
        <v>-24124</v>
      </c>
      <c r="E81" s="4"/>
      <c r="F81" s="4"/>
      <c r="G81" s="5"/>
      <c r="H81" s="5"/>
    </row>
    <row r="82" spans="1:10" ht="15.5">
      <c r="A82" s="8">
        <v>45240</v>
      </c>
      <c r="B82" s="2">
        <v>-1000</v>
      </c>
      <c r="C82" s="18" t="s">
        <v>31</v>
      </c>
      <c r="D82" s="10">
        <f t="shared" si="1"/>
        <v>-25124</v>
      </c>
      <c r="E82" s="4"/>
      <c r="F82" s="4"/>
      <c r="G82" s="5"/>
      <c r="H82" s="5"/>
    </row>
    <row r="83" spans="1:10" ht="15.5">
      <c r="A83" s="8">
        <v>45239</v>
      </c>
      <c r="B83" s="9">
        <v>-500</v>
      </c>
      <c r="C83" s="3" t="s">
        <v>37</v>
      </c>
      <c r="D83" s="10">
        <f t="shared" si="1"/>
        <v>-25624</v>
      </c>
      <c r="E83" s="4"/>
      <c r="F83" s="4"/>
      <c r="G83" s="5"/>
      <c r="H83" s="5"/>
    </row>
    <row r="84" spans="1:10" ht="15.5">
      <c r="A84" s="8">
        <v>45237</v>
      </c>
      <c r="B84" s="9">
        <v>-2400</v>
      </c>
      <c r="C84" s="3" t="s">
        <v>6</v>
      </c>
      <c r="D84" s="10">
        <f t="shared" si="1"/>
        <v>-28024</v>
      </c>
      <c r="E84" s="4"/>
      <c r="F84" s="4"/>
      <c r="G84" s="5"/>
      <c r="H84" s="5"/>
      <c r="J84" s="11">
        <v>284865</v>
      </c>
    </row>
    <row r="85" spans="1:10" ht="15.5">
      <c r="A85" s="8">
        <v>45237</v>
      </c>
      <c r="B85" s="9">
        <v>-1097</v>
      </c>
      <c r="C85" s="3" t="s">
        <v>33</v>
      </c>
      <c r="D85" s="10">
        <f t="shared" si="1"/>
        <v>-29121</v>
      </c>
      <c r="E85" s="4"/>
      <c r="F85" s="4" t="s">
        <v>39</v>
      </c>
      <c r="G85" s="2">
        <v>385000</v>
      </c>
      <c r="H85" s="5"/>
    </row>
    <row r="86" spans="1:10" ht="15.5">
      <c r="A86" s="8">
        <v>45237</v>
      </c>
      <c r="B86" s="9">
        <v>-1150</v>
      </c>
      <c r="C86" s="3" t="s">
        <v>40</v>
      </c>
      <c r="D86" s="10">
        <f t="shared" si="1"/>
        <v>-30271</v>
      </c>
      <c r="E86" s="4"/>
      <c r="F86" s="4" t="s">
        <v>41</v>
      </c>
      <c r="G86" s="2">
        <v>-3133.64</v>
      </c>
      <c r="H86" s="5"/>
    </row>
    <row r="87" spans="1:10" ht="15.5">
      <c r="A87" s="8">
        <v>45237</v>
      </c>
      <c r="B87" s="9">
        <v>-731</v>
      </c>
      <c r="C87" s="3" t="s">
        <v>42</v>
      </c>
      <c r="D87" s="10">
        <f t="shared" si="1"/>
        <v>-31002</v>
      </c>
      <c r="E87" s="4"/>
      <c r="F87" s="19" t="s">
        <v>43</v>
      </c>
      <c r="G87" s="2">
        <v>-368.66</v>
      </c>
      <c r="H87" s="5"/>
    </row>
    <row r="88" spans="1:10" ht="15.5">
      <c r="A88" s="8">
        <v>45239</v>
      </c>
      <c r="B88" s="9">
        <v>-3050</v>
      </c>
      <c r="C88" s="3" t="s">
        <v>37</v>
      </c>
      <c r="D88" s="10">
        <f t="shared" si="1"/>
        <v>-34052</v>
      </c>
      <c r="E88" s="4"/>
      <c r="F88" s="4" t="s">
        <v>44</v>
      </c>
      <c r="G88" s="2">
        <v>-1163.1300000000001</v>
      </c>
      <c r="H88" s="5"/>
    </row>
    <row r="89" spans="1:10" ht="15.5">
      <c r="A89" s="8">
        <v>45239</v>
      </c>
      <c r="B89" s="9">
        <v>-1173</v>
      </c>
      <c r="C89" s="3" t="s">
        <v>37</v>
      </c>
      <c r="D89" s="10">
        <f t="shared" si="1"/>
        <v>-35225</v>
      </c>
      <c r="E89" s="4"/>
      <c r="F89" s="4" t="s">
        <v>45</v>
      </c>
      <c r="G89" s="2">
        <v>-553</v>
      </c>
      <c r="H89" s="5"/>
    </row>
    <row r="90" spans="1:10" ht="15.5">
      <c r="A90" s="20">
        <v>45258</v>
      </c>
      <c r="B90" s="2">
        <v>-670</v>
      </c>
      <c r="C90" s="18" t="s">
        <v>19</v>
      </c>
      <c r="D90" s="10">
        <f t="shared" si="1"/>
        <v>-35895</v>
      </c>
      <c r="E90" s="4"/>
      <c r="F90" s="4" t="s">
        <v>46</v>
      </c>
      <c r="G90" s="2">
        <v>-553</v>
      </c>
      <c r="H90" s="5"/>
    </row>
    <row r="91" spans="1:10" ht="15.5">
      <c r="A91" s="20">
        <v>45258</v>
      </c>
      <c r="B91" s="2">
        <v>-1412</v>
      </c>
      <c r="C91" s="18" t="s">
        <v>38</v>
      </c>
      <c r="D91" s="10">
        <f t="shared" si="1"/>
        <v>-37307</v>
      </c>
      <c r="E91" s="4"/>
      <c r="F91" s="4" t="s">
        <v>47</v>
      </c>
      <c r="G91" s="2">
        <v>-553</v>
      </c>
      <c r="H91" s="5"/>
    </row>
    <row r="92" spans="1:10" ht="15.5">
      <c r="A92" s="8">
        <v>45257</v>
      </c>
      <c r="B92" s="9">
        <v>-3000</v>
      </c>
      <c r="C92" s="3" t="s">
        <v>6</v>
      </c>
      <c r="D92" s="10">
        <f t="shared" si="1"/>
        <v>-40307</v>
      </c>
      <c r="E92" s="4"/>
      <c r="H92" s="5"/>
    </row>
    <row r="93" spans="1:10" ht="15.5">
      <c r="A93" s="8">
        <v>45257</v>
      </c>
      <c r="B93" s="9">
        <v>-265</v>
      </c>
      <c r="C93" s="3" t="s">
        <v>37</v>
      </c>
      <c r="D93" s="10">
        <f t="shared" si="1"/>
        <v>-40572</v>
      </c>
      <c r="E93" s="4"/>
      <c r="F93" s="4" t="s">
        <v>48</v>
      </c>
      <c r="G93" s="2">
        <f>SUM(G85:G91)</f>
        <v>378675.57</v>
      </c>
      <c r="H93" s="5"/>
    </row>
    <row r="94" spans="1:10" ht="15.5">
      <c r="A94" s="8">
        <v>45257</v>
      </c>
      <c r="B94" s="9">
        <v>-835.44</v>
      </c>
      <c r="C94" s="3"/>
      <c r="D94" s="10">
        <f t="shared" si="1"/>
        <v>-41407.440000000002</v>
      </c>
      <c r="E94" s="4"/>
      <c r="F94" s="4" t="s">
        <v>49</v>
      </c>
      <c r="G94" s="2">
        <f>+G93*0.25</f>
        <v>94668.892500000002</v>
      </c>
      <c r="H94" s="5"/>
    </row>
    <row r="95" spans="1:10" ht="15.5">
      <c r="A95" s="8">
        <v>45257</v>
      </c>
      <c r="B95" s="9">
        <v>-8849</v>
      </c>
      <c r="C95" s="3" t="s">
        <v>37</v>
      </c>
      <c r="D95" s="10">
        <f t="shared" si="1"/>
        <v>-50256.44</v>
      </c>
      <c r="E95" s="4"/>
      <c r="F95" s="4" t="s">
        <v>50</v>
      </c>
      <c r="G95" s="5">
        <v>-90000</v>
      </c>
      <c r="H95" s="5"/>
      <c r="J95" s="2"/>
    </row>
    <row r="96" spans="1:10" ht="15.5">
      <c r="A96" s="8">
        <v>45257</v>
      </c>
      <c r="B96" s="9"/>
      <c r="C96" s="3" t="s">
        <v>51</v>
      </c>
      <c r="D96" s="10">
        <f t="shared" si="1"/>
        <v>-50256.44</v>
      </c>
      <c r="E96" s="4"/>
      <c r="F96" s="4" t="s">
        <v>52</v>
      </c>
      <c r="G96" s="5">
        <f>SUM(G94:G95)</f>
        <v>4668.8925000000017</v>
      </c>
      <c r="H96" s="5"/>
    </row>
    <row r="97" spans="1:10" ht="15.5">
      <c r="A97" s="8">
        <v>45254</v>
      </c>
      <c r="B97" s="9">
        <v>-730</v>
      </c>
      <c r="C97" s="3" t="s">
        <v>53</v>
      </c>
      <c r="D97" s="10">
        <f t="shared" si="1"/>
        <v>-50986.44</v>
      </c>
      <c r="E97" s="4"/>
      <c r="F97" s="4"/>
      <c r="G97" s="5"/>
      <c r="H97" s="5"/>
    </row>
    <row r="98" spans="1:10" ht="15.5">
      <c r="A98" s="8">
        <v>45244</v>
      </c>
      <c r="B98" s="9">
        <v>-350</v>
      </c>
      <c r="C98" s="3" t="s">
        <v>53</v>
      </c>
      <c r="D98" s="10">
        <f t="shared" si="1"/>
        <v>-51336.44</v>
      </c>
      <c r="E98" s="4"/>
      <c r="F98" s="4"/>
      <c r="G98" s="5"/>
      <c r="H98" s="5"/>
      <c r="J98" s="11"/>
    </row>
    <row r="99" spans="1:10" ht="15.5">
      <c r="A99" s="8">
        <v>45243</v>
      </c>
      <c r="B99" s="9">
        <v>-2901</v>
      </c>
      <c r="C99" s="3" t="s">
        <v>6</v>
      </c>
      <c r="D99" s="10">
        <f t="shared" si="1"/>
        <v>-54237.440000000002</v>
      </c>
      <c r="E99" s="4"/>
      <c r="F99" s="4"/>
      <c r="G99" s="5"/>
      <c r="H99" s="5"/>
    </row>
    <row r="100" spans="1:10" ht="15.5">
      <c r="A100" s="8">
        <v>45240</v>
      </c>
      <c r="B100" s="9">
        <v>-1654</v>
      </c>
      <c r="C100" s="3" t="s">
        <v>38</v>
      </c>
      <c r="D100" s="10">
        <f t="shared" si="1"/>
        <v>-55891.44</v>
      </c>
      <c r="E100" s="4"/>
      <c r="F100" s="4"/>
      <c r="G100" s="5"/>
      <c r="H100" s="5">
        <v>284865</v>
      </c>
    </row>
    <row r="101" spans="1:10" ht="15.5">
      <c r="A101" s="8">
        <v>45239</v>
      </c>
      <c r="B101" s="9">
        <v>-2191</v>
      </c>
      <c r="C101" s="3" t="s">
        <v>37</v>
      </c>
      <c r="D101" s="10">
        <f t="shared" si="1"/>
        <v>-58082.44</v>
      </c>
      <c r="E101" s="4"/>
      <c r="F101" s="4"/>
      <c r="G101" s="5"/>
      <c r="H101" s="5">
        <v>90000</v>
      </c>
    </row>
    <row r="102" spans="1:10" ht="15.5">
      <c r="A102" s="8">
        <v>45257</v>
      </c>
      <c r="B102" s="9">
        <v>-3000</v>
      </c>
      <c r="C102" s="3" t="s">
        <v>31</v>
      </c>
      <c r="D102" s="10">
        <f t="shared" ref="D102:D118" si="2">+D101+B102</f>
        <v>-61082.44</v>
      </c>
      <c r="E102" s="4"/>
      <c r="F102" s="17">
        <f>SUM(B25:B100)</f>
        <v>-347336.44</v>
      </c>
      <c r="G102" s="5"/>
      <c r="H102" s="5">
        <v>5000</v>
      </c>
    </row>
    <row r="103" spans="1:10" ht="15.5">
      <c r="A103" s="8">
        <v>45257</v>
      </c>
      <c r="B103" s="9"/>
      <c r="C103" s="3" t="s">
        <v>54</v>
      </c>
      <c r="D103" s="10">
        <f t="shared" si="2"/>
        <v>-61082.44</v>
      </c>
      <c r="E103" s="4"/>
      <c r="F103" s="4"/>
      <c r="G103" s="5"/>
      <c r="H103" s="5">
        <f>SUM(H100:H102)</f>
        <v>379865</v>
      </c>
    </row>
    <row r="104" spans="1:10" ht="15.5">
      <c r="A104" s="8">
        <v>45257</v>
      </c>
      <c r="B104" s="9"/>
      <c r="C104" s="3" t="s">
        <v>55</v>
      </c>
      <c r="D104" s="10">
        <f t="shared" si="2"/>
        <v>-61082.44</v>
      </c>
      <c r="E104" s="4"/>
      <c r="F104" s="4"/>
      <c r="G104" s="5"/>
      <c r="H104" s="5"/>
    </row>
    <row r="105" spans="1:10" ht="15.5">
      <c r="A105" s="8">
        <v>45257</v>
      </c>
      <c r="B105" s="9">
        <v>-12000</v>
      </c>
      <c r="C105" s="3" t="s">
        <v>56</v>
      </c>
      <c r="D105" s="10">
        <f t="shared" si="2"/>
        <v>-73082.44</v>
      </c>
      <c r="E105" s="4"/>
      <c r="F105" s="4"/>
      <c r="G105" s="5"/>
      <c r="H105" s="5"/>
    </row>
    <row r="106" spans="1:10" ht="15.5">
      <c r="A106" s="8">
        <v>45260</v>
      </c>
      <c r="B106" s="9">
        <v>-2000</v>
      </c>
      <c r="C106" s="21" t="s">
        <v>31</v>
      </c>
      <c r="D106" s="10">
        <f t="shared" si="2"/>
        <v>-75082.44</v>
      </c>
      <c r="E106" s="4"/>
      <c r="F106" s="4"/>
      <c r="G106" s="5"/>
      <c r="H106" s="5"/>
    </row>
    <row r="107" spans="1:10" ht="15.5">
      <c r="A107" s="8">
        <v>45260</v>
      </c>
      <c r="B107" s="9">
        <v>-1000</v>
      </c>
      <c r="C107" s="3" t="s">
        <v>57</v>
      </c>
      <c r="D107" s="10">
        <f t="shared" si="2"/>
        <v>-76082.44</v>
      </c>
      <c r="E107" s="4"/>
      <c r="F107" s="4"/>
      <c r="G107" s="5"/>
      <c r="H107" s="5"/>
    </row>
    <row r="108" spans="1:10" ht="15.5">
      <c r="A108" s="8"/>
      <c r="B108" s="9"/>
      <c r="C108" s="3"/>
      <c r="D108" s="10">
        <f t="shared" si="2"/>
        <v>-76082.44</v>
      </c>
      <c r="E108" s="4"/>
      <c r="F108" s="4"/>
      <c r="G108" s="5"/>
      <c r="H108" s="5"/>
    </row>
    <row r="109" spans="1:10" ht="15.5">
      <c r="A109" s="8"/>
      <c r="B109" s="9"/>
      <c r="C109" s="3"/>
      <c r="D109" s="10">
        <f t="shared" si="2"/>
        <v>-76082.44</v>
      </c>
      <c r="E109" s="4"/>
      <c r="F109" s="4"/>
      <c r="G109" s="5"/>
      <c r="H109" s="5"/>
    </row>
    <row r="110" spans="1:10" ht="15.5">
      <c r="A110" s="8"/>
      <c r="B110" s="9"/>
      <c r="C110" s="3"/>
      <c r="D110" s="10">
        <f t="shared" si="2"/>
        <v>-76082.44</v>
      </c>
      <c r="E110" s="4"/>
      <c r="F110" s="4"/>
      <c r="G110" s="5"/>
      <c r="H110" s="5"/>
    </row>
    <row r="111" spans="1:10" ht="15.5">
      <c r="A111" s="8"/>
      <c r="B111" s="9">
        <f>SUM(B70:B110)</f>
        <v>-76082.44</v>
      </c>
      <c r="C111" s="3"/>
      <c r="D111" s="10">
        <f t="shared" si="2"/>
        <v>-152164.88</v>
      </c>
      <c r="E111" s="4"/>
      <c r="F111" s="4"/>
      <c r="G111" s="5"/>
      <c r="H111" s="5"/>
    </row>
    <row r="112" spans="1:10" ht="15.5">
      <c r="A112" s="8"/>
      <c r="B112" s="9"/>
      <c r="C112" s="3"/>
      <c r="D112" s="10">
        <f t="shared" si="2"/>
        <v>-152164.88</v>
      </c>
      <c r="E112" s="4"/>
      <c r="F112" s="4"/>
      <c r="G112" s="5"/>
      <c r="H112" s="5"/>
    </row>
    <row r="113" spans="1:8" ht="15.5">
      <c r="A113" s="8"/>
      <c r="B113" s="9"/>
      <c r="C113" s="3"/>
      <c r="D113" s="10">
        <f t="shared" si="2"/>
        <v>-152164.88</v>
      </c>
      <c r="E113" s="4"/>
      <c r="F113" s="4"/>
      <c r="G113" s="5"/>
      <c r="H113" s="5"/>
    </row>
    <row r="114" spans="1:8" ht="15.5">
      <c r="A114" s="8"/>
      <c r="B114" s="9"/>
      <c r="C114" s="3"/>
      <c r="D114" s="10">
        <f t="shared" si="2"/>
        <v>-152164.88</v>
      </c>
      <c r="E114" s="4"/>
      <c r="F114" s="4"/>
      <c r="G114" s="5"/>
      <c r="H114" s="5"/>
    </row>
    <row r="115" spans="1:8" ht="15.5">
      <c r="A115" s="8"/>
      <c r="B115" s="9">
        <f>SUM(B70:B114)</f>
        <v>-152164.88</v>
      </c>
      <c r="C115" s="3"/>
      <c r="D115" s="10">
        <f t="shared" si="2"/>
        <v>-304329.76</v>
      </c>
      <c r="E115" s="4"/>
      <c r="F115" s="4"/>
      <c r="G115" s="5"/>
      <c r="H115" s="5"/>
    </row>
    <row r="116" spans="1:8" ht="15.5">
      <c r="A116" s="8"/>
      <c r="B116" s="9"/>
      <c r="C116" s="3"/>
      <c r="D116" s="10">
        <f t="shared" si="2"/>
        <v>-304329.76</v>
      </c>
      <c r="E116" s="4"/>
      <c r="F116" s="4"/>
      <c r="G116" s="5"/>
      <c r="H116" s="5"/>
    </row>
    <row r="117" spans="1:8" ht="15.5">
      <c r="A117" s="8"/>
      <c r="B117" s="9"/>
      <c r="C117" s="3"/>
      <c r="D117" s="22">
        <f t="shared" si="2"/>
        <v>-304329.76</v>
      </c>
      <c r="E117" s="4"/>
      <c r="F117" s="4"/>
      <c r="G117" s="5"/>
      <c r="H117" s="5"/>
    </row>
    <row r="118" spans="1:8" ht="15.5">
      <c r="A118" s="8"/>
      <c r="B118" s="9"/>
      <c r="C118" s="3"/>
      <c r="D118" s="22">
        <f t="shared" si="2"/>
        <v>-304329.76</v>
      </c>
      <c r="E118" s="4"/>
      <c r="F118" s="4"/>
      <c r="G118" s="5"/>
      <c r="H118" s="5"/>
    </row>
    <row r="119" spans="1:8" ht="15.5">
      <c r="A119" s="8"/>
      <c r="B119" s="9"/>
      <c r="C119" s="3"/>
      <c r="D119" s="22"/>
      <c r="E119" s="4"/>
      <c r="F119" s="4"/>
      <c r="G119" s="5"/>
      <c r="H119" s="5"/>
    </row>
    <row r="120" spans="1:8" ht="15.5">
      <c r="A120" s="8"/>
      <c r="B120" s="9"/>
      <c r="C120" s="3"/>
      <c r="D120" s="22"/>
      <c r="E120" s="4"/>
      <c r="F120" s="4"/>
      <c r="G120" s="5"/>
      <c r="H120" s="5"/>
    </row>
    <row r="121" spans="1:8" ht="15.5">
      <c r="A121" s="8"/>
      <c r="B121" s="9"/>
      <c r="C121" s="3"/>
      <c r="D121" s="22"/>
      <c r="E121" s="4"/>
      <c r="F121" s="4"/>
      <c r="G121" s="5"/>
      <c r="H121" s="5"/>
    </row>
    <row r="122" spans="1:8" ht="15.5">
      <c r="A122" s="8"/>
      <c r="B122" s="9"/>
      <c r="C122" s="3"/>
      <c r="D122" s="22"/>
      <c r="E122" s="4"/>
      <c r="F122" s="4"/>
      <c r="G122" s="5"/>
      <c r="H122" s="5"/>
    </row>
    <row r="123" spans="1:8" ht="15.5">
      <c r="A123" s="8"/>
      <c r="B123" s="9"/>
      <c r="C123" s="3"/>
      <c r="D123" s="22"/>
      <c r="E123" s="4"/>
      <c r="F123" s="4"/>
      <c r="G123" s="5"/>
      <c r="H123" s="5"/>
    </row>
    <row r="124" spans="1:8" ht="15.5">
      <c r="A124" s="8"/>
      <c r="B124" s="9"/>
      <c r="C124" s="3"/>
      <c r="D124" s="22"/>
      <c r="E124" s="4"/>
      <c r="F124" s="4"/>
      <c r="G124" s="5"/>
      <c r="H124" s="5"/>
    </row>
    <row r="125" spans="1:8" ht="15.5">
      <c r="A125" s="8"/>
      <c r="B125" s="9"/>
      <c r="C125" s="3"/>
      <c r="D125" s="22"/>
      <c r="E125" s="4"/>
      <c r="F125" s="4"/>
      <c r="G125" s="5"/>
      <c r="H125" s="5"/>
    </row>
    <row r="126" spans="1:8" ht="15.5">
      <c r="A126" s="8"/>
      <c r="B126" s="9"/>
      <c r="C126" s="3"/>
      <c r="D126" s="22"/>
      <c r="E126" s="4"/>
      <c r="F126" s="4"/>
      <c r="G126" s="5"/>
      <c r="H126" s="5"/>
    </row>
    <row r="127" spans="1:8" ht="15.5">
      <c r="A127" s="8"/>
      <c r="B127" s="9"/>
      <c r="C127" s="3"/>
      <c r="D127" s="22"/>
      <c r="E127" s="4"/>
      <c r="F127" s="4"/>
      <c r="G127" s="5"/>
      <c r="H127" s="5"/>
    </row>
    <row r="128" spans="1:8" ht="15.5">
      <c r="A128" s="8"/>
      <c r="B128" s="9"/>
      <c r="C128" s="3"/>
      <c r="D128" s="22"/>
      <c r="E128" s="4"/>
      <c r="F128" s="4"/>
      <c r="G128" s="5"/>
      <c r="H128" s="5"/>
    </row>
    <row r="129" spans="1:8" ht="15.5">
      <c r="A129" s="8"/>
      <c r="B129" s="9"/>
      <c r="C129" s="3"/>
      <c r="D129" s="22"/>
      <c r="E129" s="4"/>
      <c r="F129" s="4"/>
      <c r="G129" s="5"/>
      <c r="H129" s="5"/>
    </row>
    <row r="130" spans="1:8" ht="15.5">
      <c r="A130" s="8"/>
      <c r="B130" s="9"/>
      <c r="C130" s="3"/>
      <c r="D130" s="22"/>
      <c r="E130" s="4"/>
      <c r="F130" s="4"/>
      <c r="G130" s="5"/>
      <c r="H130" s="5"/>
    </row>
    <row r="131" spans="1:8" ht="15.5">
      <c r="A131" s="8"/>
      <c r="B131" s="9"/>
      <c r="C131" s="3"/>
      <c r="D131" s="22"/>
      <c r="E131" s="4"/>
      <c r="F131" s="4"/>
      <c r="G131" s="5"/>
      <c r="H131" s="5"/>
    </row>
    <row r="132" spans="1:8" ht="15.5">
      <c r="A132" s="8"/>
      <c r="B132" s="9"/>
      <c r="C132" s="3"/>
      <c r="D132" s="22"/>
      <c r="E132" s="4"/>
      <c r="F132" s="4"/>
      <c r="G132" s="5"/>
      <c r="H132" s="5"/>
    </row>
    <row r="133" spans="1:8" ht="15.5">
      <c r="A133" s="13"/>
      <c r="B133" s="12"/>
      <c r="C133" s="14"/>
      <c r="D133" s="22"/>
      <c r="E133" s="4"/>
      <c r="F133" s="4"/>
      <c r="G133" s="5"/>
      <c r="H133" s="5"/>
    </row>
    <row r="134" spans="1:8" ht="15.5">
      <c r="A134" s="13"/>
      <c r="B134" s="12"/>
      <c r="C134" s="14"/>
      <c r="D134" s="22"/>
      <c r="E134" s="4"/>
      <c r="F134" s="4"/>
      <c r="G134" s="5"/>
      <c r="H134" s="5"/>
    </row>
    <row r="135" spans="1:8" ht="15.5">
      <c r="A135" s="8"/>
      <c r="B135" s="9"/>
      <c r="C135" s="3"/>
      <c r="D135" s="22"/>
      <c r="E135" s="4"/>
      <c r="F135" s="4"/>
      <c r="G135" s="5"/>
      <c r="H135" s="5"/>
    </row>
    <row r="136" spans="1:8" ht="15.5">
      <c r="A136" s="13"/>
      <c r="C136" s="16"/>
      <c r="D136" s="22"/>
      <c r="E136" s="4"/>
      <c r="F136" s="4"/>
      <c r="G136" s="5"/>
      <c r="H136" s="5"/>
    </row>
    <row r="137" spans="1:8" ht="15.5">
      <c r="A137" s="13"/>
      <c r="B137" s="12"/>
      <c r="C137" s="14"/>
      <c r="D137" s="22"/>
      <c r="E137" s="4"/>
      <c r="F137" s="4"/>
      <c r="G137" s="5"/>
      <c r="H137" s="5"/>
    </row>
    <row r="138" spans="1:8" ht="15.5">
      <c r="A138" s="13"/>
      <c r="B138" s="12"/>
      <c r="C138" s="14"/>
      <c r="D138" s="22"/>
      <c r="E138" s="4"/>
      <c r="F138" s="4"/>
      <c r="G138" s="5"/>
      <c r="H138" s="5"/>
    </row>
    <row r="139" spans="1:8" ht="15.5">
      <c r="A139" s="13"/>
      <c r="B139" s="12"/>
      <c r="C139" s="14"/>
      <c r="D139" s="22"/>
      <c r="E139" s="4"/>
      <c r="F139" s="4"/>
      <c r="G139" s="5"/>
      <c r="H139" s="5"/>
    </row>
    <row r="140" spans="1:8" ht="15.5">
      <c r="A140" s="8"/>
      <c r="B140" s="12"/>
      <c r="C140" s="14"/>
      <c r="D140" s="22"/>
      <c r="E140" s="4"/>
      <c r="F140" s="4"/>
      <c r="G140" s="5"/>
      <c r="H140" s="5"/>
    </row>
    <row r="141" spans="1:8" ht="15.5">
      <c r="A141" s="8"/>
      <c r="B141" s="9"/>
      <c r="C141" s="3"/>
      <c r="D141" s="22"/>
      <c r="E141" s="4"/>
      <c r="F141" s="4"/>
      <c r="G141" s="5"/>
      <c r="H141" s="5"/>
    </row>
    <row r="142" spans="1:8" ht="15.5">
      <c r="A142" s="8"/>
      <c r="B142" s="9"/>
      <c r="C142" s="3"/>
      <c r="D142" s="22"/>
      <c r="E142" s="4"/>
      <c r="F142" s="4"/>
      <c r="G142" s="5"/>
      <c r="H142" s="5"/>
    </row>
    <row r="143" spans="1:8" ht="15.5">
      <c r="A143" s="8"/>
      <c r="B143" s="9"/>
      <c r="C143" s="3"/>
      <c r="D143" s="22"/>
      <c r="E143" s="4"/>
      <c r="F143" s="4"/>
      <c r="G143" s="5"/>
      <c r="H143" s="5"/>
    </row>
    <row r="144" spans="1:8" ht="15.5">
      <c r="A144" s="8"/>
      <c r="B144" s="9"/>
      <c r="C144" s="3"/>
      <c r="D144" s="22"/>
      <c r="E144" s="4"/>
      <c r="F144" s="4"/>
      <c r="G144" s="5"/>
      <c r="H144" s="5"/>
    </row>
    <row r="145" spans="1:8" ht="15.5">
      <c r="A145" s="8"/>
      <c r="B145" s="9"/>
      <c r="C145" s="3"/>
      <c r="D145" s="22"/>
      <c r="E145" s="4"/>
      <c r="F145" s="4"/>
      <c r="G145" s="5"/>
      <c r="H145" s="5"/>
    </row>
    <row r="146" spans="1:8" ht="15.5">
      <c r="A146" s="8"/>
      <c r="B146" s="9"/>
      <c r="C146" s="3"/>
      <c r="D146" s="22"/>
      <c r="E146" s="4"/>
      <c r="F146" s="4"/>
      <c r="G146" s="5"/>
      <c r="H146" s="5"/>
    </row>
    <row r="147" spans="1:8" ht="15.5">
      <c r="A147" s="8"/>
      <c r="C147" s="18"/>
      <c r="D147" s="22"/>
      <c r="E147" s="4"/>
      <c r="F147" s="4"/>
      <c r="G147" s="5"/>
      <c r="H147" s="5"/>
    </row>
    <row r="148" spans="1:8" ht="15.5">
      <c r="A148" s="8"/>
      <c r="B148" s="9"/>
      <c r="C148" s="3"/>
      <c r="D148" s="22"/>
      <c r="E148" s="4"/>
      <c r="F148" s="4"/>
      <c r="G148" s="5"/>
      <c r="H148" s="5"/>
    </row>
    <row r="149" spans="1:8" ht="15.5">
      <c r="A149" s="8"/>
      <c r="B149" s="9"/>
      <c r="C149" s="3"/>
      <c r="D149" s="22"/>
      <c r="E149" s="4"/>
      <c r="F149" s="4"/>
      <c r="G149" s="5"/>
      <c r="H149" s="5"/>
    </row>
    <row r="150" spans="1:8" ht="15.5">
      <c r="A150" s="8"/>
      <c r="B150" s="9"/>
      <c r="C150" s="3"/>
      <c r="D150" s="22"/>
      <c r="E150" s="4"/>
      <c r="F150" s="4"/>
      <c r="G150" s="5"/>
      <c r="H150" s="5"/>
    </row>
    <row r="151" spans="1:8" ht="15.5">
      <c r="A151" s="8"/>
      <c r="B151" s="9"/>
      <c r="C151" s="3"/>
      <c r="D151" s="22"/>
      <c r="E151" s="4"/>
      <c r="F151" s="4"/>
      <c r="G151" s="5"/>
      <c r="H151" s="5"/>
    </row>
    <row r="152" spans="1:8" ht="15.5">
      <c r="A152" s="8"/>
      <c r="B152" s="9"/>
      <c r="C152" s="3"/>
      <c r="D152" s="22"/>
      <c r="E152" s="4"/>
      <c r="F152" s="4"/>
      <c r="G152" s="5"/>
      <c r="H152" s="5"/>
    </row>
    <row r="153" spans="1:8" ht="15.5">
      <c r="A153" s="8"/>
      <c r="B153" s="9"/>
      <c r="C153" s="3"/>
      <c r="D153" s="22"/>
      <c r="E153" s="4"/>
      <c r="F153" s="4"/>
      <c r="G153" s="5"/>
      <c r="H153" s="5"/>
    </row>
    <row r="154" spans="1:8" ht="15.5">
      <c r="A154" s="8"/>
      <c r="B154" s="9"/>
      <c r="C154" s="3"/>
      <c r="D154" s="22"/>
      <c r="E154" s="4"/>
      <c r="F154" s="4"/>
      <c r="G154" s="5"/>
      <c r="H154" s="5"/>
    </row>
    <row r="155" spans="1:8" ht="15.5">
      <c r="A155" s="8"/>
      <c r="B155" s="9"/>
      <c r="C155" s="3"/>
      <c r="D155" s="22"/>
      <c r="E155" s="4"/>
      <c r="F155" s="4"/>
      <c r="G155" s="5"/>
      <c r="H155" s="5"/>
    </row>
    <row r="156" spans="1:8" ht="15.5">
      <c r="A156" s="8"/>
      <c r="B156" s="9"/>
      <c r="C156" s="3"/>
      <c r="D156" s="22"/>
      <c r="E156" s="4"/>
      <c r="F156" s="4"/>
      <c r="G156" s="5"/>
      <c r="H156" s="5"/>
    </row>
    <row r="157" spans="1:8" ht="15.5">
      <c r="A157" s="8"/>
      <c r="B157" s="9"/>
      <c r="C157" s="3"/>
      <c r="D157" s="22"/>
      <c r="E157" s="4"/>
      <c r="F157" s="4"/>
      <c r="G157" s="5"/>
      <c r="H157" s="5"/>
    </row>
    <row r="158" spans="1:8" ht="15.5">
      <c r="A158" s="8"/>
      <c r="B158" s="9"/>
      <c r="C158" s="3"/>
      <c r="D158" s="22"/>
      <c r="E158" s="4"/>
      <c r="F158" s="4"/>
      <c r="G158" s="5"/>
      <c r="H158" s="5"/>
    </row>
    <row r="159" spans="1:8" ht="15.5">
      <c r="A159" s="8"/>
      <c r="B159" s="9"/>
      <c r="C159" s="3"/>
      <c r="D159" s="22"/>
      <c r="E159" s="4"/>
      <c r="F159" s="4"/>
      <c r="G159" s="5"/>
      <c r="H159" s="5"/>
    </row>
    <row r="160" spans="1:8" ht="15.5">
      <c r="A160" s="8"/>
      <c r="B160" s="9"/>
      <c r="C160" s="3"/>
      <c r="D160" s="22"/>
      <c r="E160" s="4"/>
      <c r="F160" s="4"/>
      <c r="G160" s="5"/>
      <c r="H160" s="5"/>
    </row>
    <row r="161" spans="1:8" ht="15.5">
      <c r="A161" s="8"/>
      <c r="B161" s="9"/>
      <c r="C161" s="3"/>
      <c r="D161" s="22"/>
      <c r="E161" s="17"/>
      <c r="F161" s="4"/>
      <c r="G161" s="5"/>
      <c r="H161" s="5"/>
    </row>
    <row r="162" spans="1:8" ht="15.5">
      <c r="A162" s="13"/>
      <c r="B162" s="12"/>
      <c r="C162" s="3"/>
      <c r="D162" s="22"/>
    </row>
    <row r="163" spans="1:8" ht="15.5">
      <c r="A163" s="8"/>
      <c r="B163" s="9"/>
      <c r="C163" s="3"/>
      <c r="D163" s="22"/>
      <c r="G163" s="2">
        <v>250</v>
      </c>
      <c r="H163" s="11">
        <f>+F163*G163</f>
        <v>0</v>
      </c>
    </row>
    <row r="164" spans="1:8" ht="15.5">
      <c r="A164" s="8"/>
      <c r="B164" s="9"/>
      <c r="C164" s="3"/>
      <c r="D164" s="22"/>
      <c r="G164" s="2">
        <v>250</v>
      </c>
      <c r="H164" s="11">
        <f>+F164*G164</f>
        <v>0</v>
      </c>
    </row>
    <row r="165" spans="1:8" ht="15.5">
      <c r="A165" s="8"/>
      <c r="B165" s="9"/>
      <c r="C165" s="3"/>
      <c r="D165" s="22"/>
    </row>
    <row r="166" spans="1:8" ht="15.5">
      <c r="A166" s="8"/>
      <c r="B166" s="9"/>
      <c r="C166" s="3"/>
      <c r="D166" s="22"/>
    </row>
    <row r="167" spans="1:8" ht="15.5">
      <c r="A167" s="8"/>
      <c r="B167" s="9"/>
      <c r="C167" s="3"/>
      <c r="D167" s="22"/>
    </row>
    <row r="168" spans="1:8" ht="15.5">
      <c r="A168" s="23"/>
      <c r="B168" s="5"/>
      <c r="C168" s="18"/>
      <c r="D168" s="22"/>
    </row>
    <row r="169" spans="1:8" ht="15.5">
      <c r="A169" s="8"/>
      <c r="B169" s="9"/>
      <c r="C169" s="3"/>
      <c r="D169" s="22"/>
      <c r="H169">
        <v>15000</v>
      </c>
    </row>
    <row r="170" spans="1:8" ht="15.5">
      <c r="A170" s="8"/>
      <c r="B170" s="9"/>
      <c r="C170" s="3"/>
      <c r="D170" s="22"/>
    </row>
    <row r="171" spans="1:8" ht="15.5">
      <c r="A171" s="23"/>
      <c r="B171" s="5"/>
      <c r="C171" s="18"/>
      <c r="D171" s="22"/>
    </row>
    <row r="172" spans="1:8" ht="15.5">
      <c r="A172" s="13"/>
      <c r="B172" s="12"/>
      <c r="C172" s="3"/>
      <c r="D172" s="22"/>
    </row>
    <row r="173" spans="1:8" ht="15.5">
      <c r="A173" s="8"/>
      <c r="B173" s="9"/>
      <c r="C173" s="3"/>
      <c r="D173" s="22"/>
    </row>
    <row r="174" spans="1:8" ht="15.5">
      <c r="A174" s="8"/>
      <c r="B174" s="9"/>
      <c r="C174" s="3"/>
      <c r="D174" s="22"/>
    </row>
    <row r="175" spans="1:8" ht="15.5">
      <c r="A175" s="8"/>
      <c r="B175" s="9"/>
      <c r="C175" s="3"/>
      <c r="D175" s="22"/>
    </row>
    <row r="176" spans="1:8" ht="15.5">
      <c r="A176" s="8"/>
      <c r="B176" s="9"/>
      <c r="C176" s="3"/>
      <c r="D176" s="22"/>
    </row>
    <row r="177" spans="1:8" ht="15.5">
      <c r="A177" s="8"/>
      <c r="B177" s="9"/>
      <c r="C177" s="3"/>
      <c r="D177" s="22"/>
    </row>
    <row r="178" spans="1:8" ht="15.5">
      <c r="A178" s="8"/>
      <c r="B178" s="9"/>
      <c r="C178" s="3"/>
      <c r="D178" s="22"/>
      <c r="F178">
        <v>325000</v>
      </c>
      <c r="G178" s="24">
        <v>3.4200000000000001E-2</v>
      </c>
      <c r="H178" s="11">
        <f>+F178*G178</f>
        <v>11115</v>
      </c>
    </row>
    <row r="179" spans="1:8" ht="15.5">
      <c r="A179" s="8"/>
      <c r="B179" s="9"/>
      <c r="C179" s="3"/>
      <c r="D179" s="22"/>
      <c r="F179">
        <v>1325000</v>
      </c>
      <c r="G179" s="25">
        <v>3.4200000000000001E-2</v>
      </c>
      <c r="H179" s="11">
        <f>+F179*G179</f>
        <v>45315</v>
      </c>
    </row>
    <row r="180" spans="1:8" ht="15.5">
      <c r="A180" s="8"/>
      <c r="B180" s="9"/>
      <c r="C180" s="3"/>
      <c r="D180" s="22"/>
    </row>
    <row r="181" spans="1:8" ht="15.5">
      <c r="A181" s="8"/>
      <c r="B181" s="9"/>
      <c r="C181" s="3"/>
      <c r="D181" s="22"/>
    </row>
    <row r="182" spans="1:8" ht="15.5">
      <c r="A182" s="8"/>
      <c r="B182" s="9"/>
      <c r="C182" s="3"/>
      <c r="D182" s="10"/>
      <c r="F182">
        <f>250*5300</f>
        <v>1325000</v>
      </c>
      <c r="H182">
        <f>SUM(H169:H181)</f>
        <v>71430</v>
      </c>
    </row>
    <row r="183" spans="1:8" ht="15.5">
      <c r="A183" s="8"/>
      <c r="B183" s="9"/>
      <c r="C183" s="3"/>
    </row>
    <row r="184" spans="1:8" ht="15.5">
      <c r="A184" s="8"/>
      <c r="B184" s="9"/>
      <c r="C184" s="3"/>
    </row>
    <row r="185" spans="1:8" ht="15.5">
      <c r="A185" s="8"/>
      <c r="B185" s="9"/>
      <c r="C185" s="3"/>
    </row>
    <row r="186" spans="1:8" ht="15.5">
      <c r="A186" s="8"/>
      <c r="B186" s="9"/>
      <c r="C186" s="3"/>
    </row>
    <row r="187" spans="1:8" ht="15.5">
      <c r="A187" s="8"/>
      <c r="B187" s="9"/>
      <c r="C187" s="3"/>
    </row>
    <row r="188" spans="1:8" ht="15.5">
      <c r="A188" s="8"/>
      <c r="B188" s="9"/>
      <c r="C188" s="3"/>
    </row>
    <row r="189" spans="1:8" ht="15.5">
      <c r="A189" s="8"/>
      <c r="B189" s="9"/>
      <c r="C189" s="3"/>
    </row>
    <row r="190" spans="1:8" ht="15.5">
      <c r="A190" s="8"/>
      <c r="B190" s="9"/>
      <c r="C190" s="3"/>
    </row>
    <row r="191" spans="1:8" ht="15.5">
      <c r="A191" s="8"/>
      <c r="B191" s="9"/>
      <c r="C191" s="3"/>
    </row>
    <row r="192" spans="1:8" ht="15.5">
      <c r="A192" s="8"/>
      <c r="B192" s="9"/>
      <c r="C192" s="3"/>
    </row>
    <row r="193" spans="1:3" ht="15.5">
      <c r="A193" s="8"/>
      <c r="B193" s="9"/>
      <c r="C193" s="3"/>
    </row>
    <row r="194" spans="1:3" ht="15.5">
      <c r="A194" s="8"/>
      <c r="B194" s="9"/>
      <c r="C194" s="3"/>
    </row>
    <row r="195" spans="1:3" ht="15.5">
      <c r="A195" s="8"/>
      <c r="B195" s="12"/>
      <c r="C195" s="14"/>
    </row>
    <row r="196" spans="1:3">
      <c r="A196" s="13"/>
      <c r="C196" s="16"/>
    </row>
    <row r="197" spans="1:3">
      <c r="A197" s="13"/>
      <c r="B197" s="12"/>
      <c r="C197" s="14"/>
    </row>
    <row r="198" spans="1:3">
      <c r="A198" s="13"/>
      <c r="B198" s="12"/>
      <c r="C198" s="14"/>
    </row>
    <row r="199" spans="1:3">
      <c r="A199" s="13"/>
      <c r="B199" s="12"/>
      <c r="C199" s="14"/>
    </row>
    <row r="200" spans="1:3">
      <c r="A200" s="13"/>
      <c r="B200" s="12"/>
      <c r="C200" s="14"/>
    </row>
    <row r="201" spans="1:3">
      <c r="A201" s="13"/>
      <c r="B201" s="12"/>
      <c r="C201" s="14"/>
    </row>
    <row r="202" spans="1:3" ht="15.5">
      <c r="A202" s="8"/>
      <c r="B202" s="9"/>
      <c r="C202" s="3"/>
    </row>
    <row r="203" spans="1:3" ht="15.5">
      <c r="A203" s="8"/>
      <c r="B203" s="9"/>
      <c r="C203" s="3"/>
    </row>
    <row r="204" spans="1:3" ht="15.5">
      <c r="A204" s="8"/>
      <c r="B204" s="9"/>
      <c r="C204" s="3"/>
    </row>
    <row r="205" spans="1:3" ht="15.5">
      <c r="A205" s="8"/>
      <c r="B205" s="9"/>
      <c r="C205" s="3"/>
    </row>
  </sheetData>
  <mergeCells count="2">
    <mergeCell ref="A1:C1"/>
    <mergeCell ref="G2:H2"/>
  </mergeCells>
  <pageMargins left="0.7" right="0.7" top="0.75" bottom="0.75" header="0.511811023622047" footer="0.511811023622047"/>
  <pageSetup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5"/>
  <sheetViews>
    <sheetView topLeftCell="B34" zoomScaleNormal="100" workbookViewId="0">
      <selection activeCell="S41" sqref="S41"/>
    </sheetView>
  </sheetViews>
  <sheetFormatPr baseColWidth="10" defaultColWidth="8.7265625" defaultRowHeight="14.5"/>
  <cols>
    <col min="1" max="1" width="7.54296875" customWidth="1"/>
    <col min="2" max="2" width="17.81640625" style="2" customWidth="1"/>
    <col min="3" max="3" width="25.1796875" customWidth="1"/>
    <col min="4" max="4" width="11.81640625" customWidth="1"/>
    <col min="5" max="5" width="11.453125" customWidth="1"/>
    <col min="6" max="6" width="30.453125" customWidth="1"/>
    <col min="7" max="7" width="25.81640625" style="2" customWidth="1"/>
    <col min="8" max="8" width="15.1796875" customWidth="1"/>
    <col min="9" max="9" width="11.1796875" style="2" customWidth="1"/>
    <col min="10" max="10" width="14.81640625" customWidth="1"/>
  </cols>
  <sheetData>
    <row r="1" spans="1:8" ht="15.5">
      <c r="A1" s="209" t="s">
        <v>0</v>
      </c>
      <c r="B1" s="209"/>
      <c r="C1" s="209"/>
      <c r="D1" s="3"/>
      <c r="E1" s="4"/>
      <c r="F1" s="4"/>
      <c r="G1" s="5"/>
      <c r="H1" s="5"/>
    </row>
    <row r="2" spans="1:8" ht="15.5">
      <c r="A2" s="6" t="s">
        <v>1</v>
      </c>
      <c r="B2" s="7" t="s">
        <v>2</v>
      </c>
      <c r="C2" s="6" t="s">
        <v>3</v>
      </c>
      <c r="D2" s="3"/>
      <c r="E2" s="4"/>
      <c r="F2" s="4"/>
      <c r="G2" s="210" t="s">
        <v>4</v>
      </c>
      <c r="H2" s="210"/>
    </row>
    <row r="3" spans="1:8" ht="15.5">
      <c r="A3" s="8">
        <v>45325</v>
      </c>
      <c r="B3" s="9">
        <v>-3000</v>
      </c>
      <c r="C3" s="3" t="s">
        <v>220</v>
      </c>
      <c r="D3" s="10">
        <f>+B3</f>
        <v>-3000</v>
      </c>
      <c r="E3" s="4"/>
      <c r="F3" s="4"/>
      <c r="G3" s="9" t="s">
        <v>6</v>
      </c>
      <c r="H3" s="9">
        <v>20000</v>
      </c>
    </row>
    <row r="4" spans="1:8" ht="15.5">
      <c r="A4" s="8">
        <v>45323</v>
      </c>
      <c r="B4" s="2">
        <v>-4500</v>
      </c>
      <c r="C4" t="s">
        <v>37</v>
      </c>
      <c r="D4" s="11">
        <f t="shared" ref="D4:D35" si="0">+D3+B4</f>
        <v>-7500</v>
      </c>
      <c r="E4" s="4"/>
      <c r="F4" s="4"/>
      <c r="G4" s="9" t="s">
        <v>7</v>
      </c>
      <c r="H4" s="9">
        <v>30000</v>
      </c>
    </row>
    <row r="5" spans="1:8" ht="15.5">
      <c r="A5" s="8">
        <v>45324</v>
      </c>
      <c r="B5" s="9">
        <f>-300*58</f>
        <v>-17400</v>
      </c>
      <c r="C5" s="3" t="s">
        <v>200</v>
      </c>
      <c r="D5" s="11">
        <f t="shared" si="0"/>
        <v>-24900</v>
      </c>
      <c r="E5" s="4"/>
      <c r="F5" s="4"/>
      <c r="G5" s="9" t="s">
        <v>9</v>
      </c>
      <c r="H5" s="9">
        <v>40000</v>
      </c>
    </row>
    <row r="6" spans="1:8" ht="15.5">
      <c r="A6" s="8">
        <v>45324</v>
      </c>
      <c r="B6" s="9">
        <v>-3208</v>
      </c>
      <c r="C6" s="3" t="s">
        <v>6</v>
      </c>
      <c r="D6" s="11">
        <f t="shared" si="0"/>
        <v>-28108</v>
      </c>
      <c r="E6" s="4"/>
      <c r="F6" s="4"/>
      <c r="G6" s="9" t="s">
        <v>11</v>
      </c>
      <c r="H6" s="9">
        <v>5000</v>
      </c>
    </row>
    <row r="7" spans="1:8" ht="15.5">
      <c r="A7" s="8">
        <v>45327</v>
      </c>
      <c r="B7" s="9">
        <v>-1200</v>
      </c>
      <c r="C7" s="3" t="s">
        <v>221</v>
      </c>
      <c r="D7" s="11">
        <f t="shared" si="0"/>
        <v>-29308</v>
      </c>
      <c r="E7" s="4"/>
      <c r="F7" s="4"/>
      <c r="G7" s="9"/>
      <c r="H7" s="9"/>
    </row>
    <row r="8" spans="1:8" ht="15.5">
      <c r="A8" s="8">
        <v>45327</v>
      </c>
      <c r="B8" s="9">
        <v>-3000</v>
      </c>
      <c r="C8" s="3" t="s">
        <v>222</v>
      </c>
      <c r="D8" s="11">
        <f t="shared" si="0"/>
        <v>-32308</v>
      </c>
      <c r="E8" s="4"/>
      <c r="F8" s="4"/>
      <c r="G8" s="9" t="s">
        <v>13</v>
      </c>
      <c r="H8" s="9">
        <v>3000</v>
      </c>
    </row>
    <row r="9" spans="1:8" ht="15.5">
      <c r="A9" s="8">
        <v>45329</v>
      </c>
      <c r="B9" s="12">
        <v>-900</v>
      </c>
      <c r="C9" s="3" t="s">
        <v>223</v>
      </c>
      <c r="D9" s="11">
        <f t="shared" si="0"/>
        <v>-33208</v>
      </c>
      <c r="E9" s="4">
        <v>105000</v>
      </c>
      <c r="F9" s="4" t="s">
        <v>104</v>
      </c>
      <c r="G9" s="9" t="s">
        <v>15</v>
      </c>
      <c r="H9" s="9">
        <v>5000</v>
      </c>
    </row>
    <row r="10" spans="1:8" ht="15.5">
      <c r="A10" s="8">
        <v>45329</v>
      </c>
      <c r="B10" s="9">
        <v>-1700</v>
      </c>
      <c r="C10" s="3" t="s">
        <v>224</v>
      </c>
      <c r="D10" s="11">
        <f t="shared" si="0"/>
        <v>-34908</v>
      </c>
      <c r="E10" s="4">
        <v>12000</v>
      </c>
      <c r="F10" s="4" t="s">
        <v>106</v>
      </c>
      <c r="G10" s="9" t="s">
        <v>18</v>
      </c>
      <c r="H10" s="9">
        <v>1500</v>
      </c>
    </row>
    <row r="11" spans="1:8" ht="15.5">
      <c r="A11" s="8">
        <v>45334</v>
      </c>
      <c r="B11" s="9">
        <v>-2964</v>
      </c>
      <c r="C11" s="3" t="s">
        <v>190</v>
      </c>
      <c r="D11" s="11">
        <f t="shared" si="0"/>
        <v>-37872</v>
      </c>
      <c r="E11" s="4">
        <v>8000</v>
      </c>
      <c r="F11" s="4" t="s">
        <v>106</v>
      </c>
      <c r="G11" s="9" t="s">
        <v>19</v>
      </c>
      <c r="H11" s="9">
        <v>10000</v>
      </c>
    </row>
    <row r="12" spans="1:8" ht="15.5">
      <c r="A12" s="8">
        <v>45332</v>
      </c>
      <c r="B12" s="5">
        <v>-13300</v>
      </c>
      <c r="C12" s="18" t="s">
        <v>225</v>
      </c>
      <c r="D12" s="11">
        <f t="shared" si="0"/>
        <v>-51172</v>
      </c>
      <c r="E12" s="4">
        <v>15000</v>
      </c>
      <c r="F12" s="4" t="s">
        <v>34</v>
      </c>
      <c r="G12" s="9" t="s">
        <v>21</v>
      </c>
      <c r="H12" s="9">
        <v>1500</v>
      </c>
    </row>
    <row r="13" spans="1:8" ht="15.5">
      <c r="A13" s="8">
        <v>45331</v>
      </c>
      <c r="B13" s="9">
        <v>1000</v>
      </c>
      <c r="C13" s="3" t="s">
        <v>31</v>
      </c>
      <c r="D13" s="11">
        <f t="shared" si="0"/>
        <v>-50172</v>
      </c>
      <c r="E13" s="4"/>
      <c r="F13" s="4"/>
      <c r="G13" s="9" t="s">
        <v>23</v>
      </c>
      <c r="H13" s="9">
        <v>25000</v>
      </c>
    </row>
    <row r="14" spans="1:8" ht="15.5">
      <c r="A14" s="8">
        <v>45331</v>
      </c>
      <c r="B14" s="9">
        <v>-5835</v>
      </c>
      <c r="C14" s="3" t="s">
        <v>37</v>
      </c>
      <c r="D14" s="11">
        <f t="shared" si="0"/>
        <v>-56007</v>
      </c>
      <c r="E14" s="4"/>
      <c r="F14" s="4"/>
      <c r="G14" s="9" t="s">
        <v>25</v>
      </c>
      <c r="H14" s="9">
        <v>1500</v>
      </c>
    </row>
    <row r="15" spans="1:8" ht="15.5">
      <c r="A15" s="8">
        <v>45329</v>
      </c>
      <c r="B15" s="9">
        <v>-975</v>
      </c>
      <c r="C15" s="3" t="s">
        <v>223</v>
      </c>
      <c r="D15" s="11">
        <f t="shared" si="0"/>
        <v>-56982</v>
      </c>
      <c r="E15" s="4"/>
      <c r="F15" s="4"/>
      <c r="G15" s="9"/>
      <c r="H15" s="9"/>
    </row>
    <row r="16" spans="1:8" ht="15.5">
      <c r="A16" s="8">
        <v>45329</v>
      </c>
      <c r="B16" s="12">
        <v>-1424</v>
      </c>
      <c r="C16" s="14" t="s">
        <v>38</v>
      </c>
      <c r="D16" s="11">
        <f t="shared" si="0"/>
        <v>-58406</v>
      </c>
      <c r="E16" s="4">
        <f>SUM(E9:E15)</f>
        <v>140000</v>
      </c>
      <c r="F16" s="4"/>
      <c r="G16" s="9"/>
      <c r="H16" s="9"/>
    </row>
    <row r="17" spans="1:8" ht="15.5">
      <c r="A17" s="8">
        <v>45329</v>
      </c>
      <c r="B17" s="12">
        <v>-1742</v>
      </c>
      <c r="C17" s="14" t="s">
        <v>38</v>
      </c>
      <c r="D17" s="11">
        <f t="shared" si="0"/>
        <v>-60148</v>
      </c>
      <c r="E17" s="4"/>
      <c r="F17" s="4"/>
      <c r="G17" s="15" t="s">
        <v>27</v>
      </c>
      <c r="H17" s="15">
        <f>SUM(H3:H15)</f>
        <v>142500</v>
      </c>
    </row>
    <row r="18" spans="1:8" ht="15.5">
      <c r="A18" s="8">
        <v>45328</v>
      </c>
      <c r="B18" s="9">
        <v>-1180</v>
      </c>
      <c r="C18" s="3" t="s">
        <v>19</v>
      </c>
      <c r="D18" s="11">
        <f t="shared" si="0"/>
        <v>-61328</v>
      </c>
      <c r="E18" s="4"/>
      <c r="F18" s="4"/>
      <c r="G18" s="5" t="s">
        <v>29</v>
      </c>
      <c r="H18" s="5">
        <f>+H17/54</f>
        <v>2638.8888888888887</v>
      </c>
    </row>
    <row r="19" spans="1:8" ht="15.5">
      <c r="A19" s="8">
        <v>45327</v>
      </c>
      <c r="B19" s="9">
        <v>-770</v>
      </c>
      <c r="C19" s="3" t="s">
        <v>226</v>
      </c>
      <c r="D19" s="11">
        <f t="shared" si="0"/>
        <v>-62098</v>
      </c>
      <c r="E19" s="4"/>
      <c r="F19" s="4"/>
      <c r="G19" s="5"/>
      <c r="H19" s="5"/>
    </row>
    <row r="20" spans="1:8" ht="15.5">
      <c r="A20" s="8">
        <v>45332</v>
      </c>
      <c r="B20" s="12">
        <f>-200*60</f>
        <v>-12000</v>
      </c>
      <c r="C20" s="3" t="s">
        <v>34</v>
      </c>
      <c r="D20" s="11">
        <f t="shared" si="0"/>
        <v>-74098</v>
      </c>
      <c r="E20" s="4"/>
      <c r="F20" s="4"/>
      <c r="G20" s="5"/>
      <c r="H20" s="5"/>
    </row>
    <row r="21" spans="1:8" ht="15.5">
      <c r="A21" s="8">
        <v>45334</v>
      </c>
      <c r="B21" s="5">
        <f>-340*60</f>
        <v>-20400</v>
      </c>
      <c r="C21" s="18" t="s">
        <v>227</v>
      </c>
      <c r="D21" s="11">
        <f t="shared" si="0"/>
        <v>-94498</v>
      </c>
      <c r="E21" s="4"/>
      <c r="F21" s="4"/>
      <c r="G21" s="5" t="s">
        <v>77</v>
      </c>
      <c r="H21" s="5"/>
    </row>
    <row r="22" spans="1:8" ht="15.5">
      <c r="A22" s="8">
        <v>45335</v>
      </c>
      <c r="B22" s="9">
        <v>-5100</v>
      </c>
      <c r="C22" s="3" t="s">
        <v>228</v>
      </c>
      <c r="D22" s="11">
        <f t="shared" si="0"/>
        <v>-99598</v>
      </c>
      <c r="E22" s="4"/>
      <c r="F22" s="4"/>
      <c r="G22" s="5" t="s">
        <v>78</v>
      </c>
      <c r="H22" s="5">
        <f>1100*55</f>
        <v>60500</v>
      </c>
    </row>
    <row r="23" spans="1:8" ht="15.5">
      <c r="A23" s="8">
        <v>45335</v>
      </c>
      <c r="B23" s="12">
        <v>-600</v>
      </c>
      <c r="C23" s="14" t="s">
        <v>229</v>
      </c>
      <c r="D23" s="11">
        <f t="shared" si="0"/>
        <v>-100198</v>
      </c>
      <c r="E23" s="4"/>
      <c r="F23" s="4"/>
      <c r="G23" s="5" t="s">
        <v>79</v>
      </c>
      <c r="H23" s="5">
        <v>27000</v>
      </c>
    </row>
    <row r="24" spans="1:8" ht="15.5">
      <c r="A24" s="8">
        <v>45341</v>
      </c>
      <c r="B24" s="12">
        <v>-7000</v>
      </c>
      <c r="C24" s="14" t="s">
        <v>230</v>
      </c>
      <c r="D24" s="11">
        <f t="shared" si="0"/>
        <v>-107198</v>
      </c>
      <c r="E24" s="4"/>
      <c r="F24" s="4"/>
      <c r="G24" s="5"/>
      <c r="H24" s="5"/>
    </row>
    <row r="25" spans="1:8" ht="15.5">
      <c r="A25" s="8">
        <v>45344</v>
      </c>
      <c r="B25" s="12">
        <v>-4000</v>
      </c>
      <c r="C25" s="14" t="s">
        <v>231</v>
      </c>
      <c r="D25" s="11">
        <f t="shared" si="0"/>
        <v>-111198</v>
      </c>
      <c r="E25" s="4"/>
      <c r="F25" s="4"/>
      <c r="G25" s="5" t="s">
        <v>27</v>
      </c>
      <c r="H25" s="17">
        <f>SUM(H22:H24)</f>
        <v>87500</v>
      </c>
    </row>
    <row r="26" spans="1:8" ht="15.5">
      <c r="A26" s="8">
        <v>45344</v>
      </c>
      <c r="B26" s="9">
        <v>-3000</v>
      </c>
      <c r="C26" s="3" t="s">
        <v>232</v>
      </c>
      <c r="D26" s="11">
        <f t="shared" si="0"/>
        <v>-114198</v>
      </c>
      <c r="E26" s="4"/>
      <c r="F26" s="4"/>
      <c r="G26" s="5"/>
      <c r="H26" s="4"/>
    </row>
    <row r="27" spans="1:8" ht="15.5">
      <c r="A27" s="8">
        <v>45345</v>
      </c>
      <c r="B27" s="9">
        <v>-5000</v>
      </c>
      <c r="C27" s="3" t="s">
        <v>233</v>
      </c>
      <c r="D27" s="11">
        <f t="shared" si="0"/>
        <v>-119198</v>
      </c>
      <c r="E27" s="4"/>
      <c r="F27" s="4"/>
      <c r="G27" s="5"/>
      <c r="H27" s="4"/>
    </row>
    <row r="28" spans="1:8" ht="15.5">
      <c r="A28" s="8">
        <v>45348</v>
      </c>
      <c r="B28" s="9">
        <v>-6000</v>
      </c>
      <c r="C28" s="3" t="s">
        <v>205</v>
      </c>
      <c r="D28" s="11">
        <f t="shared" si="0"/>
        <v>-125198</v>
      </c>
      <c r="E28" s="4"/>
      <c r="F28" s="4" t="s">
        <v>80</v>
      </c>
      <c r="G28" s="5"/>
      <c r="H28" s="4"/>
    </row>
    <row r="29" spans="1:8" ht="15.5">
      <c r="A29" s="8">
        <v>45348</v>
      </c>
      <c r="B29" s="5">
        <v>-5605000</v>
      </c>
      <c r="C29" s="18" t="s">
        <v>234</v>
      </c>
      <c r="D29" s="11">
        <f t="shared" si="0"/>
        <v>-5730198</v>
      </c>
      <c r="E29" s="4"/>
      <c r="F29" s="4" t="s">
        <v>81</v>
      </c>
      <c r="G29" s="5">
        <f>4700*56</f>
        <v>263200</v>
      </c>
      <c r="H29" s="5"/>
    </row>
    <row r="30" spans="1:8" ht="15.5">
      <c r="A30" s="8">
        <v>45337</v>
      </c>
      <c r="B30" s="2">
        <v>-835</v>
      </c>
      <c r="C30" s="18" t="s">
        <v>235</v>
      </c>
      <c r="D30" s="11">
        <f t="shared" si="0"/>
        <v>-5731033</v>
      </c>
      <c r="E30" s="4"/>
      <c r="F30" s="4" t="s">
        <v>82</v>
      </c>
      <c r="G30" s="5">
        <v>10000</v>
      </c>
      <c r="H30" s="5"/>
    </row>
    <row r="31" spans="1:8" ht="15.5">
      <c r="A31" s="8">
        <v>45337</v>
      </c>
      <c r="B31" s="9">
        <v>-535</v>
      </c>
      <c r="C31" s="3" t="s">
        <v>223</v>
      </c>
      <c r="D31" s="11">
        <f t="shared" si="0"/>
        <v>-5731568</v>
      </c>
      <c r="E31" s="4"/>
      <c r="F31" s="4" t="s">
        <v>83</v>
      </c>
      <c r="G31" s="5">
        <v>25000</v>
      </c>
      <c r="H31" s="5"/>
    </row>
    <row r="32" spans="1:8" ht="15.5">
      <c r="A32" s="8">
        <v>45338</v>
      </c>
      <c r="B32" s="9">
        <v>-1500</v>
      </c>
      <c r="C32" s="3" t="s">
        <v>37</v>
      </c>
      <c r="D32" s="11">
        <f t="shared" si="0"/>
        <v>-5733068</v>
      </c>
      <c r="E32" s="4"/>
      <c r="F32" s="17" t="s">
        <v>84</v>
      </c>
      <c r="G32" s="5">
        <v>35000</v>
      </c>
      <c r="H32" s="5"/>
    </row>
    <row r="33" spans="1:8" ht="15.5">
      <c r="A33" s="8">
        <v>45338</v>
      </c>
      <c r="B33" s="9">
        <v>-13000</v>
      </c>
      <c r="C33" s="3" t="s">
        <v>236</v>
      </c>
      <c r="D33" s="11">
        <f t="shared" si="0"/>
        <v>-5746068</v>
      </c>
      <c r="E33" s="4"/>
      <c r="F33" s="4" t="s">
        <v>85</v>
      </c>
      <c r="G33" s="5">
        <v>9000</v>
      </c>
      <c r="H33" s="5"/>
    </row>
    <row r="34" spans="1:8" ht="15.5">
      <c r="A34" s="8">
        <v>45338</v>
      </c>
      <c r="B34" s="9">
        <v>-1600</v>
      </c>
      <c r="C34" s="3" t="s">
        <v>37</v>
      </c>
      <c r="D34" s="11">
        <f t="shared" si="0"/>
        <v>-5747668</v>
      </c>
      <c r="E34" s="4"/>
      <c r="F34" s="4" t="s">
        <v>86</v>
      </c>
      <c r="G34" s="5">
        <v>9000</v>
      </c>
      <c r="H34" s="5"/>
    </row>
    <row r="35" spans="1:8" ht="15.5">
      <c r="A35" s="8">
        <v>45343</v>
      </c>
      <c r="B35" s="9">
        <v>-800</v>
      </c>
      <c r="C35" s="3" t="s">
        <v>191</v>
      </c>
      <c r="D35" s="11">
        <f t="shared" si="0"/>
        <v>-5748468</v>
      </c>
      <c r="E35" s="4"/>
      <c r="F35" s="4"/>
      <c r="G35" s="5"/>
      <c r="H35" s="5"/>
    </row>
    <row r="36" spans="1:8" ht="15.5">
      <c r="A36" s="8">
        <v>45348</v>
      </c>
      <c r="B36" s="9">
        <v>-3000</v>
      </c>
      <c r="C36" s="3" t="s">
        <v>6</v>
      </c>
      <c r="D36" s="11">
        <f t="shared" ref="D36:D61" si="1">+D35+B36</f>
        <v>-5751468</v>
      </c>
      <c r="E36" s="4"/>
      <c r="F36" s="4"/>
      <c r="G36" s="5"/>
      <c r="H36" s="5"/>
    </row>
    <row r="37" spans="1:8" ht="15.5">
      <c r="A37" s="8">
        <v>45348</v>
      </c>
      <c r="B37" s="9">
        <v>-850</v>
      </c>
      <c r="C37" s="3" t="s">
        <v>237</v>
      </c>
      <c r="D37" s="11">
        <f t="shared" si="1"/>
        <v>-5752318</v>
      </c>
      <c r="E37" s="4"/>
      <c r="F37" s="4"/>
      <c r="G37" s="5"/>
      <c r="H37" s="5"/>
    </row>
    <row r="38" spans="1:8" ht="15.5">
      <c r="A38" s="8">
        <v>45348</v>
      </c>
      <c r="B38" s="9">
        <v>-50000</v>
      </c>
      <c r="C38" s="3" t="s">
        <v>238</v>
      </c>
      <c r="D38" s="11">
        <f t="shared" si="1"/>
        <v>-5802318</v>
      </c>
      <c r="E38" s="4"/>
      <c r="F38" s="4"/>
      <c r="G38" s="5"/>
      <c r="H38" s="5"/>
    </row>
    <row r="39" spans="1:8" ht="15.5">
      <c r="A39" s="8">
        <v>45345</v>
      </c>
      <c r="B39" s="9">
        <v>-5000</v>
      </c>
      <c r="C39" s="3" t="s">
        <v>233</v>
      </c>
      <c r="D39" s="11">
        <f t="shared" si="1"/>
        <v>-5807318</v>
      </c>
      <c r="E39" s="4"/>
      <c r="F39" s="4"/>
      <c r="G39" s="5"/>
      <c r="H39" s="5"/>
    </row>
    <row r="40" spans="1:8" ht="15.5">
      <c r="A40" s="8">
        <v>45347</v>
      </c>
      <c r="B40" s="9">
        <v>-3000</v>
      </c>
      <c r="C40" s="3" t="s">
        <v>6</v>
      </c>
      <c r="D40" s="11">
        <f t="shared" si="1"/>
        <v>-5810318</v>
      </c>
      <c r="E40" s="4"/>
      <c r="F40" s="4"/>
      <c r="G40" s="5"/>
      <c r="H40" s="5"/>
    </row>
    <row r="41" spans="1:8" ht="15.5">
      <c r="A41" s="8">
        <v>45347</v>
      </c>
      <c r="B41" s="9">
        <v>-7300</v>
      </c>
      <c r="C41" s="3" t="s">
        <v>37</v>
      </c>
      <c r="D41" s="11">
        <f t="shared" si="1"/>
        <v>-5817618</v>
      </c>
      <c r="E41" s="4"/>
      <c r="F41" s="4"/>
      <c r="G41" s="5"/>
      <c r="H41" s="5"/>
    </row>
    <row r="42" spans="1:8" ht="15.5">
      <c r="A42" s="8">
        <v>45350</v>
      </c>
      <c r="B42" s="9">
        <v>-850</v>
      </c>
      <c r="C42" s="3" t="s">
        <v>237</v>
      </c>
      <c r="D42" s="11">
        <f t="shared" si="1"/>
        <v>-5818468</v>
      </c>
      <c r="E42" s="4"/>
      <c r="F42" s="4"/>
      <c r="G42" s="5"/>
      <c r="H42" s="5"/>
    </row>
    <row r="43" spans="1:8" ht="15.5">
      <c r="A43" s="8">
        <v>45351</v>
      </c>
      <c r="B43" s="9">
        <v>-3400</v>
      </c>
      <c r="C43" s="3" t="s">
        <v>38</v>
      </c>
      <c r="D43" s="11">
        <f t="shared" si="1"/>
        <v>-5821868</v>
      </c>
      <c r="E43" s="4"/>
      <c r="F43" s="4"/>
      <c r="G43" s="5"/>
      <c r="H43" s="5"/>
    </row>
    <row r="44" spans="1:8" ht="15.5">
      <c r="A44" s="8"/>
      <c r="B44" s="9"/>
      <c r="C44" s="3"/>
      <c r="D44" s="11">
        <f t="shared" si="1"/>
        <v>-5821868</v>
      </c>
      <c r="E44" s="4"/>
      <c r="F44" s="4"/>
      <c r="G44" s="5"/>
      <c r="H44" s="5"/>
    </row>
    <row r="45" spans="1:8" ht="15.5">
      <c r="A45" s="8"/>
      <c r="B45" s="9"/>
      <c r="C45" s="21"/>
      <c r="D45" s="11">
        <f t="shared" si="1"/>
        <v>-5821868</v>
      </c>
      <c r="E45" s="4"/>
      <c r="F45" s="4"/>
      <c r="G45" s="5"/>
      <c r="H45" s="5"/>
    </row>
    <row r="46" spans="1:8" ht="15.5">
      <c r="A46" s="8"/>
      <c r="B46" s="9"/>
      <c r="C46" s="3"/>
      <c r="D46" s="11">
        <f t="shared" si="1"/>
        <v>-5821868</v>
      </c>
      <c r="E46" s="4"/>
      <c r="F46" s="4"/>
      <c r="G46" s="5"/>
      <c r="H46" s="5"/>
    </row>
    <row r="47" spans="1:8" ht="15.5">
      <c r="A47" s="8"/>
      <c r="B47" s="9"/>
      <c r="C47" s="3"/>
      <c r="D47" s="11">
        <f t="shared" si="1"/>
        <v>-5821868</v>
      </c>
      <c r="E47" s="4"/>
      <c r="F47" s="4"/>
      <c r="G47" s="5"/>
      <c r="H47" s="5"/>
    </row>
    <row r="48" spans="1:8" ht="15.5">
      <c r="A48" s="8"/>
      <c r="B48" s="9"/>
      <c r="C48" s="3"/>
      <c r="D48" s="11">
        <f t="shared" si="1"/>
        <v>-5821868</v>
      </c>
      <c r="E48" s="4"/>
      <c r="F48" s="4"/>
      <c r="G48" s="5"/>
      <c r="H48" s="5"/>
    </row>
    <row r="49" spans="1:8" ht="15.5">
      <c r="A49" s="8"/>
      <c r="B49" s="9"/>
      <c r="C49" s="3"/>
      <c r="D49" s="11">
        <f t="shared" si="1"/>
        <v>-5821868</v>
      </c>
      <c r="E49" s="4"/>
      <c r="F49" s="4"/>
      <c r="G49" s="5"/>
      <c r="H49" s="5"/>
    </row>
    <row r="50" spans="1:8" ht="15.5">
      <c r="A50" s="8"/>
      <c r="B50" s="9"/>
      <c r="C50" s="3"/>
      <c r="D50" s="11">
        <f t="shared" si="1"/>
        <v>-5821868</v>
      </c>
      <c r="E50" s="4"/>
      <c r="F50" s="4"/>
      <c r="G50" s="5"/>
      <c r="H50" s="5"/>
    </row>
    <row r="51" spans="1:8" ht="15.5">
      <c r="A51" s="8"/>
      <c r="B51" s="9"/>
      <c r="C51" s="3"/>
      <c r="D51" s="11">
        <f t="shared" si="1"/>
        <v>-5821868</v>
      </c>
      <c r="E51" s="4"/>
      <c r="F51" s="4"/>
      <c r="G51" s="5"/>
      <c r="H51" s="5"/>
    </row>
    <row r="52" spans="1:8" ht="15.5">
      <c r="A52" s="8"/>
      <c r="B52" s="9"/>
      <c r="C52" s="3"/>
      <c r="D52" s="11">
        <f t="shared" si="1"/>
        <v>-5821868</v>
      </c>
      <c r="E52" s="4"/>
      <c r="F52" s="4"/>
      <c r="G52" s="5"/>
      <c r="H52" s="5"/>
    </row>
    <row r="53" spans="1:8" ht="15.5">
      <c r="A53" s="8"/>
      <c r="B53" s="9"/>
      <c r="C53" s="3"/>
      <c r="D53" s="11">
        <f t="shared" si="1"/>
        <v>-5821868</v>
      </c>
      <c r="E53" s="4"/>
      <c r="F53" s="4"/>
      <c r="G53" s="5"/>
      <c r="H53" s="5"/>
    </row>
    <row r="54" spans="1:8" ht="15.5">
      <c r="A54" s="8"/>
      <c r="B54" s="9">
        <f>SUM(B9:B53)</f>
        <v>-5789560</v>
      </c>
      <c r="C54" s="3"/>
      <c r="D54" s="11">
        <f t="shared" si="1"/>
        <v>-11611428</v>
      </c>
      <c r="E54" s="4"/>
      <c r="F54" s="4"/>
      <c r="G54" s="5"/>
      <c r="H54" s="5"/>
    </row>
    <row r="55" spans="1:8" ht="15.5">
      <c r="A55" s="8"/>
      <c r="B55" s="9"/>
      <c r="C55" s="3"/>
      <c r="D55" s="11">
        <f t="shared" si="1"/>
        <v>-11611428</v>
      </c>
      <c r="E55" s="4"/>
      <c r="F55" s="4"/>
      <c r="G55" s="5"/>
      <c r="H55" s="5"/>
    </row>
    <row r="56" spans="1:8" ht="15.5">
      <c r="A56" s="8"/>
      <c r="B56" s="9"/>
      <c r="C56" s="3"/>
      <c r="D56" s="11">
        <f t="shared" si="1"/>
        <v>-11611428</v>
      </c>
      <c r="E56" s="4"/>
      <c r="F56" s="4"/>
      <c r="G56" s="5"/>
      <c r="H56" s="5"/>
    </row>
    <row r="57" spans="1:8" ht="15.5">
      <c r="A57" s="8"/>
      <c r="B57" s="9"/>
      <c r="C57" s="3"/>
      <c r="D57" s="11">
        <f t="shared" si="1"/>
        <v>-11611428</v>
      </c>
      <c r="E57" s="4"/>
      <c r="F57" s="4"/>
      <c r="G57" s="5"/>
      <c r="H57" s="5"/>
    </row>
    <row r="58" spans="1:8" ht="15.5">
      <c r="A58" s="8"/>
      <c r="B58" s="9"/>
      <c r="C58" s="3"/>
      <c r="D58" s="11">
        <f t="shared" si="1"/>
        <v>-11611428</v>
      </c>
      <c r="E58" s="4"/>
      <c r="F58" s="4"/>
      <c r="G58" s="5"/>
      <c r="H58" s="5"/>
    </row>
    <row r="59" spans="1:8" ht="15.5">
      <c r="A59" s="8"/>
      <c r="B59" s="9"/>
      <c r="C59" s="3"/>
      <c r="D59" s="11">
        <f t="shared" si="1"/>
        <v>-11611428</v>
      </c>
      <c r="E59" s="4"/>
      <c r="F59" s="4"/>
      <c r="G59" s="5"/>
      <c r="H59" s="5"/>
    </row>
    <row r="60" spans="1:8" ht="15.5">
      <c r="A60" s="8"/>
      <c r="B60" s="9"/>
      <c r="C60" s="3"/>
      <c r="D60" s="11">
        <f t="shared" si="1"/>
        <v>-11611428</v>
      </c>
      <c r="E60" s="4"/>
      <c r="F60" s="4"/>
      <c r="G60" s="5"/>
      <c r="H60" s="5"/>
    </row>
    <row r="61" spans="1:8" ht="15.5">
      <c r="A61" s="8"/>
      <c r="B61" s="9"/>
      <c r="C61" s="3"/>
      <c r="D61" s="11">
        <f t="shared" si="1"/>
        <v>-11611428</v>
      </c>
      <c r="E61" s="4"/>
      <c r="F61" s="4"/>
      <c r="G61" s="5"/>
      <c r="H61" s="5"/>
    </row>
    <row r="62" spans="1:8" ht="15.5">
      <c r="A62" s="8"/>
      <c r="B62" s="9"/>
      <c r="C62" s="3"/>
      <c r="D62" s="22"/>
      <c r="E62" s="4"/>
      <c r="F62" s="4"/>
      <c r="G62" s="5"/>
      <c r="H62" s="5"/>
    </row>
    <row r="63" spans="1:8" ht="15.5">
      <c r="A63" s="8"/>
      <c r="B63" s="9"/>
      <c r="C63" s="3"/>
      <c r="D63" s="22"/>
      <c r="E63" s="4"/>
      <c r="F63" s="4"/>
      <c r="G63" s="5"/>
      <c r="H63" s="5"/>
    </row>
    <row r="64" spans="1:8" ht="15.5">
      <c r="A64" s="8"/>
      <c r="B64" s="9"/>
      <c r="C64" s="3"/>
      <c r="D64" s="22"/>
      <c r="E64" s="4"/>
      <c r="F64" s="4"/>
      <c r="G64" s="5"/>
      <c r="H64" s="5"/>
    </row>
    <row r="65" spans="1:10" ht="15.5">
      <c r="A65" s="8"/>
      <c r="B65" s="9"/>
      <c r="C65" s="3"/>
      <c r="D65" s="22"/>
      <c r="E65" s="4"/>
      <c r="F65" s="4"/>
      <c r="G65" s="5"/>
      <c r="H65" s="5"/>
    </row>
    <row r="66" spans="1:10" ht="15.5">
      <c r="A66" s="8"/>
      <c r="B66" s="9"/>
      <c r="C66" s="3"/>
      <c r="D66" s="22"/>
      <c r="E66" s="4"/>
      <c r="F66" s="4"/>
      <c r="G66" s="5"/>
      <c r="H66" s="5"/>
    </row>
    <row r="67" spans="1:10" ht="15.5">
      <c r="A67" s="8"/>
      <c r="B67" s="9"/>
      <c r="C67" s="3"/>
      <c r="D67" s="22"/>
      <c r="E67" s="4"/>
      <c r="F67" s="4"/>
      <c r="G67" s="5"/>
      <c r="H67" s="5"/>
    </row>
    <row r="68" spans="1:10" ht="15.5">
      <c r="A68" s="8"/>
      <c r="B68" s="9"/>
      <c r="C68" s="3"/>
      <c r="D68" s="22"/>
      <c r="E68" s="4"/>
      <c r="F68" s="4"/>
      <c r="G68" s="5"/>
      <c r="H68" s="5"/>
    </row>
    <row r="69" spans="1:10" ht="15.5">
      <c r="A69" s="8"/>
      <c r="B69" s="9"/>
      <c r="C69" s="3"/>
      <c r="D69" s="22"/>
      <c r="E69" s="4"/>
      <c r="F69" s="4"/>
      <c r="G69" s="5"/>
      <c r="H69" s="5"/>
    </row>
    <row r="70" spans="1:10" ht="15.5">
      <c r="A70" s="8">
        <v>45232</v>
      </c>
      <c r="B70" s="12"/>
      <c r="C70" s="14" t="s">
        <v>30</v>
      </c>
      <c r="D70" s="10">
        <f t="shared" ref="D70:D101" si="2">+D69+B70</f>
        <v>0</v>
      </c>
      <c r="E70" s="4"/>
      <c r="F70" s="4"/>
      <c r="G70" s="5"/>
      <c r="H70" s="5"/>
    </row>
    <row r="71" spans="1:10" ht="15.5">
      <c r="A71" s="8">
        <v>45232</v>
      </c>
      <c r="B71" s="12"/>
      <c r="C71" s="14" t="s">
        <v>19</v>
      </c>
      <c r="D71" s="10">
        <f t="shared" si="2"/>
        <v>0</v>
      </c>
      <c r="E71" s="4"/>
      <c r="F71" s="4"/>
      <c r="G71" s="5"/>
      <c r="H71" s="5"/>
    </row>
    <row r="72" spans="1:10" ht="15.5">
      <c r="A72" s="8">
        <v>45233</v>
      </c>
      <c r="B72" s="9">
        <v>-500</v>
      </c>
      <c r="C72" s="3" t="s">
        <v>31</v>
      </c>
      <c r="D72" s="10">
        <f t="shared" si="2"/>
        <v>-500</v>
      </c>
      <c r="E72" s="4"/>
      <c r="F72" s="4"/>
      <c r="G72" s="5"/>
      <c r="H72" s="5"/>
      <c r="J72" s="2"/>
    </row>
    <row r="73" spans="1:10" ht="15.5">
      <c r="A73" s="8">
        <v>45234</v>
      </c>
      <c r="B73" s="2">
        <v>-2300</v>
      </c>
      <c r="C73" s="16" t="s">
        <v>6</v>
      </c>
      <c r="D73" s="10">
        <f t="shared" si="2"/>
        <v>-2800</v>
      </c>
      <c r="E73" s="4"/>
      <c r="F73" s="4"/>
      <c r="G73" s="5"/>
      <c r="H73" s="5"/>
    </row>
    <row r="74" spans="1:10" ht="15.5">
      <c r="A74" s="8">
        <v>45234</v>
      </c>
      <c r="B74" s="12">
        <v>-1300</v>
      </c>
      <c r="C74" s="14" t="s">
        <v>32</v>
      </c>
      <c r="D74" s="10">
        <f t="shared" si="2"/>
        <v>-4100</v>
      </c>
      <c r="E74" s="4"/>
      <c r="F74" s="4"/>
      <c r="G74" s="5">
        <f>SUM(G29:G73)</f>
        <v>351200</v>
      </c>
      <c r="H74" s="5"/>
    </row>
    <row r="75" spans="1:10" ht="15.5">
      <c r="A75" s="8">
        <v>45234</v>
      </c>
      <c r="B75" s="12">
        <v>-1200</v>
      </c>
      <c r="C75" s="14" t="s">
        <v>33</v>
      </c>
      <c r="D75" s="10">
        <f t="shared" si="2"/>
        <v>-5300</v>
      </c>
      <c r="E75" s="4"/>
      <c r="F75" s="4"/>
      <c r="G75" s="5"/>
      <c r="H75" s="5"/>
      <c r="J75" s="11"/>
    </row>
    <row r="76" spans="1:10" ht="15.5">
      <c r="A76" s="8">
        <v>45235</v>
      </c>
      <c r="B76" s="9">
        <f>-300*56</f>
        <v>-16800</v>
      </c>
      <c r="C76" s="3" t="s">
        <v>34</v>
      </c>
      <c r="D76" s="10">
        <f t="shared" si="2"/>
        <v>-22100</v>
      </c>
      <c r="E76" s="4"/>
      <c r="F76" s="4"/>
      <c r="G76" s="5"/>
      <c r="H76" s="5"/>
    </row>
    <row r="77" spans="1:10" ht="15.5">
      <c r="A77" s="8">
        <v>45238</v>
      </c>
      <c r="B77" s="9">
        <v>-600</v>
      </c>
      <c r="C77" s="3" t="s">
        <v>35</v>
      </c>
      <c r="D77" s="10">
        <f t="shared" si="2"/>
        <v>-22700</v>
      </c>
      <c r="E77" s="4"/>
      <c r="F77" s="4"/>
      <c r="G77" s="5"/>
      <c r="H77" s="5"/>
    </row>
    <row r="78" spans="1:10" ht="15.5">
      <c r="A78" s="8">
        <v>45238</v>
      </c>
      <c r="B78" s="9"/>
      <c r="C78" s="3" t="s">
        <v>36</v>
      </c>
      <c r="D78" s="10">
        <f t="shared" si="2"/>
        <v>-22700</v>
      </c>
      <c r="E78" s="4"/>
      <c r="F78" s="4"/>
      <c r="G78" s="5"/>
      <c r="H78" s="5"/>
    </row>
    <row r="79" spans="1:10" ht="15.5">
      <c r="A79" s="8">
        <v>45238</v>
      </c>
      <c r="B79" s="9"/>
      <c r="C79" s="3" t="s">
        <v>37</v>
      </c>
      <c r="D79" s="10">
        <f t="shared" si="2"/>
        <v>-22700</v>
      </c>
      <c r="E79" s="4"/>
      <c r="F79" s="17"/>
      <c r="G79" s="5"/>
      <c r="H79" s="5"/>
    </row>
    <row r="80" spans="1:10" ht="15.5">
      <c r="A80" s="8">
        <v>45234</v>
      </c>
      <c r="B80" s="9">
        <v>-1424</v>
      </c>
      <c r="C80" s="3" t="s">
        <v>38</v>
      </c>
      <c r="D80" s="10">
        <f t="shared" si="2"/>
        <v>-24124</v>
      </c>
      <c r="E80" s="4"/>
      <c r="F80" s="4"/>
      <c r="G80" s="5"/>
      <c r="H80" s="5"/>
    </row>
    <row r="81" spans="1:10" ht="15.5">
      <c r="A81" s="8">
        <v>45238</v>
      </c>
      <c r="B81" s="9"/>
      <c r="C81" s="3"/>
      <c r="D81" s="10">
        <f t="shared" si="2"/>
        <v>-24124</v>
      </c>
      <c r="E81" s="4"/>
      <c r="F81" s="4"/>
      <c r="G81" s="5"/>
      <c r="H81" s="5"/>
    </row>
    <row r="82" spans="1:10" ht="15.5">
      <c r="A82" s="8">
        <v>45240</v>
      </c>
      <c r="B82" s="2">
        <v>-1000</v>
      </c>
      <c r="C82" s="18" t="s">
        <v>31</v>
      </c>
      <c r="D82" s="10">
        <f t="shared" si="2"/>
        <v>-25124</v>
      </c>
      <c r="E82" s="4"/>
      <c r="F82" s="4"/>
      <c r="G82" s="5"/>
      <c r="H82" s="5"/>
    </row>
    <row r="83" spans="1:10" ht="15.5">
      <c r="A83" s="8">
        <v>45239</v>
      </c>
      <c r="B83" s="9">
        <v>-500</v>
      </c>
      <c r="C83" s="3" t="s">
        <v>37</v>
      </c>
      <c r="D83" s="10">
        <f t="shared" si="2"/>
        <v>-25624</v>
      </c>
      <c r="E83" s="4"/>
      <c r="F83" s="4"/>
      <c r="G83" s="5"/>
      <c r="H83" s="5"/>
    </row>
    <row r="84" spans="1:10" ht="15.5">
      <c r="A84" s="8">
        <v>45237</v>
      </c>
      <c r="B84" s="9">
        <v>-2400</v>
      </c>
      <c r="C84" s="3" t="s">
        <v>6</v>
      </c>
      <c r="D84" s="10">
        <f t="shared" si="2"/>
        <v>-28024</v>
      </c>
      <c r="E84" s="4"/>
      <c r="F84" s="4"/>
      <c r="G84" s="5"/>
      <c r="H84" s="5"/>
      <c r="J84" s="11">
        <v>284865</v>
      </c>
    </row>
    <row r="85" spans="1:10" ht="15.5">
      <c r="A85" s="8">
        <v>45237</v>
      </c>
      <c r="B85" s="9">
        <v>-1097</v>
      </c>
      <c r="C85" s="3" t="s">
        <v>33</v>
      </c>
      <c r="D85" s="10">
        <f t="shared" si="2"/>
        <v>-29121</v>
      </c>
      <c r="E85" s="4"/>
      <c r="F85" s="4" t="s">
        <v>39</v>
      </c>
      <c r="G85" s="2">
        <v>385000</v>
      </c>
      <c r="H85" s="5"/>
    </row>
    <row r="86" spans="1:10" ht="15.5">
      <c r="A86" s="8">
        <v>45237</v>
      </c>
      <c r="B86" s="9">
        <v>-1150</v>
      </c>
      <c r="C86" s="3" t="s">
        <v>40</v>
      </c>
      <c r="D86" s="10">
        <f t="shared" si="2"/>
        <v>-30271</v>
      </c>
      <c r="E86" s="4"/>
      <c r="F86" s="4" t="s">
        <v>41</v>
      </c>
      <c r="G86" s="2">
        <v>-3133.64</v>
      </c>
      <c r="H86" s="5"/>
    </row>
    <row r="87" spans="1:10" ht="15.5">
      <c r="A87" s="8">
        <v>45237</v>
      </c>
      <c r="B87" s="9">
        <v>-731</v>
      </c>
      <c r="C87" s="3" t="s">
        <v>42</v>
      </c>
      <c r="D87" s="10">
        <f t="shared" si="2"/>
        <v>-31002</v>
      </c>
      <c r="E87" s="4"/>
      <c r="F87" s="19" t="s">
        <v>43</v>
      </c>
      <c r="G87" s="2">
        <v>-368.66</v>
      </c>
      <c r="H87" s="5"/>
    </row>
    <row r="88" spans="1:10" ht="15.5">
      <c r="A88" s="8">
        <v>45239</v>
      </c>
      <c r="B88" s="9">
        <v>-3050</v>
      </c>
      <c r="C88" s="3" t="s">
        <v>37</v>
      </c>
      <c r="D88" s="10">
        <f t="shared" si="2"/>
        <v>-34052</v>
      </c>
      <c r="E88" s="4"/>
      <c r="F88" s="4" t="s">
        <v>44</v>
      </c>
      <c r="G88" s="2">
        <v>-1163.1300000000001</v>
      </c>
      <c r="H88" s="5"/>
    </row>
    <row r="89" spans="1:10" ht="15.5">
      <c r="A89" s="8">
        <v>45239</v>
      </c>
      <c r="B89" s="9">
        <v>-1173</v>
      </c>
      <c r="C89" s="3" t="s">
        <v>37</v>
      </c>
      <c r="D89" s="10">
        <f t="shared" si="2"/>
        <v>-35225</v>
      </c>
      <c r="E89" s="4"/>
      <c r="F89" s="4" t="s">
        <v>45</v>
      </c>
      <c r="G89" s="2">
        <v>-553</v>
      </c>
      <c r="H89" s="5"/>
    </row>
    <row r="90" spans="1:10" ht="15.5">
      <c r="A90" s="20">
        <v>45258</v>
      </c>
      <c r="B90" s="2">
        <v>-670</v>
      </c>
      <c r="C90" s="18" t="s">
        <v>19</v>
      </c>
      <c r="D90" s="10">
        <f t="shared" si="2"/>
        <v>-35895</v>
      </c>
      <c r="E90" s="4"/>
      <c r="F90" s="4" t="s">
        <v>46</v>
      </c>
      <c r="G90" s="2">
        <v>-553</v>
      </c>
      <c r="H90" s="5"/>
    </row>
    <row r="91" spans="1:10" ht="15.5">
      <c r="A91" s="20">
        <v>45258</v>
      </c>
      <c r="B91" s="2">
        <v>-1412</v>
      </c>
      <c r="C91" s="18" t="s">
        <v>38</v>
      </c>
      <c r="D91" s="10">
        <f t="shared" si="2"/>
        <v>-37307</v>
      </c>
      <c r="E91" s="4"/>
      <c r="F91" s="4" t="s">
        <v>47</v>
      </c>
      <c r="G91" s="2">
        <v>-553</v>
      </c>
      <c r="H91" s="5"/>
    </row>
    <row r="92" spans="1:10" ht="15.5">
      <c r="A92" s="8">
        <v>45257</v>
      </c>
      <c r="B92" s="9">
        <v>-3000</v>
      </c>
      <c r="C92" s="3" t="s">
        <v>6</v>
      </c>
      <c r="D92" s="10">
        <f t="shared" si="2"/>
        <v>-40307</v>
      </c>
      <c r="E92" s="4"/>
      <c r="H92" s="5"/>
    </row>
    <row r="93" spans="1:10" ht="15.5">
      <c r="A93" s="8">
        <v>45257</v>
      </c>
      <c r="B93" s="9">
        <v>-265</v>
      </c>
      <c r="C93" s="3" t="s">
        <v>37</v>
      </c>
      <c r="D93" s="10">
        <f t="shared" si="2"/>
        <v>-40572</v>
      </c>
      <c r="E93" s="4"/>
      <c r="F93" s="4" t="s">
        <v>48</v>
      </c>
      <c r="G93" s="2">
        <f>SUM(G85:G91)</f>
        <v>378675.57</v>
      </c>
      <c r="H93" s="5"/>
    </row>
    <row r="94" spans="1:10" ht="15.5">
      <c r="A94" s="8">
        <v>45257</v>
      </c>
      <c r="B94" s="9">
        <v>-835.44</v>
      </c>
      <c r="C94" s="3"/>
      <c r="D94" s="10">
        <f t="shared" si="2"/>
        <v>-41407.440000000002</v>
      </c>
      <c r="E94" s="4"/>
      <c r="F94" s="4" t="s">
        <v>49</v>
      </c>
      <c r="G94" s="2">
        <f>+G93*0.25</f>
        <v>94668.892500000002</v>
      </c>
      <c r="H94" s="5"/>
    </row>
    <row r="95" spans="1:10" ht="15.5">
      <c r="A95" s="8">
        <v>45257</v>
      </c>
      <c r="B95" s="9">
        <v>-8849</v>
      </c>
      <c r="C95" s="3" t="s">
        <v>37</v>
      </c>
      <c r="D95" s="10">
        <f t="shared" si="2"/>
        <v>-50256.44</v>
      </c>
      <c r="E95" s="4"/>
      <c r="F95" s="4" t="s">
        <v>50</v>
      </c>
      <c r="G95" s="5">
        <v>-90000</v>
      </c>
      <c r="H95" s="5"/>
      <c r="J95" s="2"/>
    </row>
    <row r="96" spans="1:10" ht="15.5">
      <c r="A96" s="8">
        <v>45257</v>
      </c>
      <c r="B96" s="9"/>
      <c r="C96" s="3" t="s">
        <v>51</v>
      </c>
      <c r="D96" s="10">
        <f t="shared" si="2"/>
        <v>-50256.44</v>
      </c>
      <c r="E96" s="4"/>
      <c r="F96" s="4" t="s">
        <v>52</v>
      </c>
      <c r="G96" s="5">
        <f>SUM(G94:G95)</f>
        <v>4668.8925000000017</v>
      </c>
      <c r="H96" s="5"/>
    </row>
    <row r="97" spans="1:10" ht="15.5">
      <c r="A97" s="8">
        <v>45254</v>
      </c>
      <c r="B97" s="9">
        <v>-730</v>
      </c>
      <c r="C97" s="3" t="s">
        <v>53</v>
      </c>
      <c r="D97" s="10">
        <f t="shared" si="2"/>
        <v>-50986.44</v>
      </c>
      <c r="E97" s="4"/>
      <c r="F97" s="4"/>
      <c r="G97" s="5"/>
      <c r="H97" s="5"/>
    </row>
    <row r="98" spans="1:10" ht="15.5">
      <c r="A98" s="8">
        <v>45244</v>
      </c>
      <c r="B98" s="9">
        <v>-350</v>
      </c>
      <c r="C98" s="3" t="s">
        <v>53</v>
      </c>
      <c r="D98" s="10">
        <f t="shared" si="2"/>
        <v>-51336.44</v>
      </c>
      <c r="E98" s="4"/>
      <c r="F98" s="4"/>
      <c r="G98" s="5"/>
      <c r="H98" s="5"/>
      <c r="J98" s="11"/>
    </row>
    <row r="99" spans="1:10" ht="15.5">
      <c r="A99" s="8">
        <v>45243</v>
      </c>
      <c r="B99" s="9">
        <v>-2901</v>
      </c>
      <c r="C99" s="3" t="s">
        <v>6</v>
      </c>
      <c r="D99" s="10">
        <f t="shared" si="2"/>
        <v>-54237.440000000002</v>
      </c>
      <c r="E99" s="4"/>
      <c r="F99" s="4"/>
      <c r="G99" s="5"/>
      <c r="H99" s="5"/>
    </row>
    <row r="100" spans="1:10" ht="15.5">
      <c r="A100" s="8">
        <v>45240</v>
      </c>
      <c r="B100" s="9">
        <v>-1654</v>
      </c>
      <c r="C100" s="3" t="s">
        <v>38</v>
      </c>
      <c r="D100" s="10">
        <f t="shared" si="2"/>
        <v>-55891.44</v>
      </c>
      <c r="E100" s="4"/>
      <c r="F100" s="4"/>
      <c r="G100" s="5"/>
      <c r="H100" s="5">
        <v>284865</v>
      </c>
    </row>
    <row r="101" spans="1:10" ht="15.5">
      <c r="A101" s="8">
        <v>45239</v>
      </c>
      <c r="B101" s="9">
        <v>-2191</v>
      </c>
      <c r="C101" s="3" t="s">
        <v>37</v>
      </c>
      <c r="D101" s="10">
        <f t="shared" si="2"/>
        <v>-58082.44</v>
      </c>
      <c r="E101" s="4"/>
      <c r="F101" s="4"/>
      <c r="G101" s="5"/>
      <c r="H101" s="5">
        <v>90000</v>
      </c>
    </row>
    <row r="102" spans="1:10" ht="15.5">
      <c r="A102" s="8">
        <v>45257</v>
      </c>
      <c r="B102" s="9">
        <v>-3000</v>
      </c>
      <c r="C102" s="3" t="s">
        <v>31</v>
      </c>
      <c r="D102" s="10">
        <f t="shared" ref="D102:D118" si="3">+D101+B102</f>
        <v>-61082.44</v>
      </c>
      <c r="E102" s="4"/>
      <c r="F102" s="17">
        <f>SUM(B25:B100)</f>
        <v>-11560121.439999999</v>
      </c>
      <c r="G102" s="5"/>
      <c r="H102" s="5">
        <v>5000</v>
      </c>
    </row>
    <row r="103" spans="1:10" ht="15.5">
      <c r="A103" s="8">
        <v>45257</v>
      </c>
      <c r="B103" s="9"/>
      <c r="C103" s="3" t="s">
        <v>54</v>
      </c>
      <c r="D103" s="10">
        <f t="shared" si="3"/>
        <v>-61082.44</v>
      </c>
      <c r="E103" s="4"/>
      <c r="F103" s="4"/>
      <c r="G103" s="5"/>
      <c r="H103" s="5">
        <f>SUM(H100:H102)</f>
        <v>379865</v>
      </c>
    </row>
    <row r="104" spans="1:10" ht="15.5">
      <c r="A104" s="8">
        <v>45257</v>
      </c>
      <c r="B104" s="9"/>
      <c r="C104" s="3" t="s">
        <v>55</v>
      </c>
      <c r="D104" s="10">
        <f t="shared" si="3"/>
        <v>-61082.44</v>
      </c>
      <c r="E104" s="4"/>
      <c r="F104" s="4"/>
      <c r="G104" s="5"/>
      <c r="H104" s="5"/>
    </row>
    <row r="105" spans="1:10" ht="15.5">
      <c r="A105" s="8">
        <v>45257</v>
      </c>
      <c r="B105" s="9">
        <v>-12000</v>
      </c>
      <c r="C105" s="3" t="s">
        <v>56</v>
      </c>
      <c r="D105" s="10">
        <f t="shared" si="3"/>
        <v>-73082.44</v>
      </c>
      <c r="E105" s="4"/>
      <c r="F105" s="4"/>
      <c r="G105" s="5"/>
      <c r="H105" s="5"/>
    </row>
    <row r="106" spans="1:10" ht="15.5">
      <c r="A106" s="8">
        <v>45260</v>
      </c>
      <c r="B106" s="9">
        <v>-2000</v>
      </c>
      <c r="C106" s="21" t="s">
        <v>31</v>
      </c>
      <c r="D106" s="10">
        <f t="shared" si="3"/>
        <v>-75082.44</v>
      </c>
      <c r="E106" s="4"/>
      <c r="F106" s="4"/>
      <c r="G106" s="5"/>
      <c r="H106" s="5"/>
    </row>
    <row r="107" spans="1:10" ht="15.5">
      <c r="A107" s="8">
        <v>45260</v>
      </c>
      <c r="B107" s="9">
        <v>-1000</v>
      </c>
      <c r="C107" s="3" t="s">
        <v>57</v>
      </c>
      <c r="D107" s="10">
        <f t="shared" si="3"/>
        <v>-76082.44</v>
      </c>
      <c r="E107" s="4"/>
      <c r="F107" s="4"/>
      <c r="G107" s="5"/>
      <c r="H107" s="5"/>
    </row>
    <row r="108" spans="1:10" ht="15.5">
      <c r="A108" s="8"/>
      <c r="B108" s="9"/>
      <c r="C108" s="3"/>
      <c r="D108" s="10">
        <f t="shared" si="3"/>
        <v>-76082.44</v>
      </c>
      <c r="E108" s="4"/>
      <c r="F108" s="4"/>
      <c r="G108" s="5"/>
      <c r="H108" s="5"/>
    </row>
    <row r="109" spans="1:10" ht="15.5">
      <c r="A109" s="8"/>
      <c r="B109" s="9"/>
      <c r="C109" s="3"/>
      <c r="D109" s="10">
        <f t="shared" si="3"/>
        <v>-76082.44</v>
      </c>
      <c r="E109" s="4"/>
      <c r="F109" s="4"/>
      <c r="G109" s="5"/>
      <c r="H109" s="5"/>
    </row>
    <row r="110" spans="1:10" ht="15.5">
      <c r="A110" s="8"/>
      <c r="B110" s="9"/>
      <c r="C110" s="3"/>
      <c r="D110" s="10">
        <f t="shared" si="3"/>
        <v>-76082.44</v>
      </c>
      <c r="E110" s="4"/>
      <c r="F110" s="4"/>
      <c r="G110" s="5"/>
      <c r="H110" s="5"/>
    </row>
    <row r="111" spans="1:10" ht="15.5">
      <c r="A111" s="8"/>
      <c r="B111" s="9">
        <f>SUM(B70:B110)</f>
        <v>-76082.44</v>
      </c>
      <c r="C111" s="3"/>
      <c r="D111" s="10">
        <f t="shared" si="3"/>
        <v>-152164.88</v>
      </c>
      <c r="E111" s="4"/>
      <c r="F111" s="4"/>
      <c r="G111" s="5"/>
      <c r="H111" s="5"/>
    </row>
    <row r="112" spans="1:10" ht="15.5">
      <c r="A112" s="8"/>
      <c r="B112" s="9"/>
      <c r="C112" s="3"/>
      <c r="D112" s="10">
        <f t="shared" si="3"/>
        <v>-152164.88</v>
      </c>
      <c r="E112" s="4"/>
      <c r="F112" s="4"/>
      <c r="G112" s="5"/>
      <c r="H112" s="5"/>
    </row>
    <row r="113" spans="1:8" ht="15.5">
      <c r="A113" s="8"/>
      <c r="B113" s="9"/>
      <c r="C113" s="3"/>
      <c r="D113" s="10">
        <f t="shared" si="3"/>
        <v>-152164.88</v>
      </c>
      <c r="E113" s="4"/>
      <c r="F113" s="4"/>
      <c r="G113" s="5"/>
      <c r="H113" s="5"/>
    </row>
    <row r="114" spans="1:8" ht="15.5">
      <c r="A114" s="8"/>
      <c r="B114" s="9"/>
      <c r="C114" s="3"/>
      <c r="D114" s="10">
        <f t="shared" si="3"/>
        <v>-152164.88</v>
      </c>
      <c r="E114" s="4"/>
      <c r="F114" s="4"/>
      <c r="G114" s="5"/>
      <c r="H114" s="5"/>
    </row>
    <row r="115" spans="1:8" ht="15.5">
      <c r="A115" s="8"/>
      <c r="B115" s="9">
        <f>SUM(B70:B114)</f>
        <v>-152164.88</v>
      </c>
      <c r="C115" s="3"/>
      <c r="D115" s="10">
        <f t="shared" si="3"/>
        <v>-304329.76</v>
      </c>
      <c r="E115" s="4"/>
      <c r="F115" s="4"/>
      <c r="G115" s="5"/>
      <c r="H115" s="5"/>
    </row>
    <row r="116" spans="1:8" ht="15.5">
      <c r="A116" s="8"/>
      <c r="B116" s="9"/>
      <c r="C116" s="3"/>
      <c r="D116" s="10">
        <f t="shared" si="3"/>
        <v>-304329.76</v>
      </c>
      <c r="E116" s="4"/>
      <c r="F116" s="4"/>
      <c r="G116" s="5"/>
      <c r="H116" s="5"/>
    </row>
    <row r="117" spans="1:8" ht="15.5">
      <c r="A117" s="8"/>
      <c r="B117" s="9"/>
      <c r="C117" s="3"/>
      <c r="D117" s="22">
        <f t="shared" si="3"/>
        <v>-304329.76</v>
      </c>
      <c r="E117" s="4"/>
      <c r="F117" s="4"/>
      <c r="G117" s="5"/>
      <c r="H117" s="5"/>
    </row>
    <row r="118" spans="1:8" ht="15.5">
      <c r="A118" s="8"/>
      <c r="B118" s="9"/>
      <c r="C118" s="3"/>
      <c r="D118" s="22">
        <f t="shared" si="3"/>
        <v>-304329.76</v>
      </c>
      <c r="E118" s="4"/>
      <c r="F118" s="4"/>
      <c r="G118" s="5"/>
      <c r="H118" s="5"/>
    </row>
    <row r="119" spans="1:8" ht="15.5">
      <c r="A119" s="8"/>
      <c r="B119" s="9"/>
      <c r="C119" s="3"/>
      <c r="D119" s="22"/>
      <c r="E119" s="4"/>
      <c r="F119" s="4"/>
      <c r="G119" s="5"/>
      <c r="H119" s="5"/>
    </row>
    <row r="120" spans="1:8" ht="15.5">
      <c r="A120" s="8"/>
      <c r="B120" s="9"/>
      <c r="C120" s="3"/>
      <c r="D120" s="22"/>
      <c r="E120" s="4"/>
      <c r="F120" s="4"/>
      <c r="G120" s="5"/>
      <c r="H120" s="5"/>
    </row>
    <row r="121" spans="1:8" ht="15.5">
      <c r="A121" s="8"/>
      <c r="B121" s="9"/>
      <c r="C121" s="3"/>
      <c r="D121" s="22"/>
      <c r="E121" s="4"/>
      <c r="F121" s="4"/>
      <c r="G121" s="5"/>
      <c r="H121" s="5"/>
    </row>
    <row r="122" spans="1:8" ht="15.5">
      <c r="A122" s="8"/>
      <c r="B122" s="9"/>
      <c r="C122" s="3"/>
      <c r="D122" s="22"/>
      <c r="E122" s="4"/>
      <c r="F122" s="4"/>
      <c r="G122" s="5"/>
      <c r="H122" s="5"/>
    </row>
    <row r="123" spans="1:8" ht="15.5">
      <c r="A123" s="8"/>
      <c r="B123" s="9"/>
      <c r="C123" s="3"/>
      <c r="D123" s="22"/>
      <c r="E123" s="4"/>
      <c r="F123" s="4"/>
      <c r="G123" s="5"/>
      <c r="H123" s="5"/>
    </row>
    <row r="124" spans="1:8" ht="15.5">
      <c r="A124" s="8"/>
      <c r="B124" s="9"/>
      <c r="C124" s="3"/>
      <c r="D124" s="22"/>
      <c r="E124" s="4"/>
      <c r="F124" s="4"/>
      <c r="G124" s="5"/>
      <c r="H124" s="5"/>
    </row>
    <row r="125" spans="1:8" ht="15.5">
      <c r="A125" s="8"/>
      <c r="B125" s="9"/>
      <c r="C125" s="3"/>
      <c r="D125" s="22"/>
      <c r="E125" s="4"/>
      <c r="F125" s="4"/>
      <c r="G125" s="5"/>
      <c r="H125" s="5"/>
    </row>
    <row r="126" spans="1:8" ht="15.5">
      <c r="A126" s="8"/>
      <c r="B126" s="9"/>
      <c r="C126" s="3"/>
      <c r="D126" s="22"/>
      <c r="E126" s="4"/>
      <c r="F126" s="4"/>
      <c r="G126" s="5"/>
      <c r="H126" s="5"/>
    </row>
    <row r="127" spans="1:8" ht="15.5">
      <c r="A127" s="8"/>
      <c r="B127" s="9"/>
      <c r="C127" s="3"/>
      <c r="D127" s="22"/>
      <c r="E127" s="4"/>
      <c r="F127" s="4"/>
      <c r="G127" s="5"/>
      <c r="H127" s="5"/>
    </row>
    <row r="128" spans="1:8" ht="15.5">
      <c r="A128" s="8"/>
      <c r="B128" s="9"/>
      <c r="C128" s="3"/>
      <c r="D128" s="22"/>
      <c r="E128" s="4"/>
      <c r="F128" s="4"/>
      <c r="G128" s="5"/>
      <c r="H128" s="5"/>
    </row>
    <row r="129" spans="1:8" ht="15.5">
      <c r="A129" s="8"/>
      <c r="B129" s="9"/>
      <c r="C129" s="3"/>
      <c r="D129" s="22"/>
      <c r="E129" s="4"/>
      <c r="F129" s="4"/>
      <c r="G129" s="5"/>
      <c r="H129" s="5"/>
    </row>
    <row r="130" spans="1:8" ht="15.5">
      <c r="A130" s="8"/>
      <c r="B130" s="9"/>
      <c r="C130" s="3"/>
      <c r="D130" s="22"/>
      <c r="E130" s="4"/>
      <c r="F130" s="4"/>
      <c r="G130" s="5"/>
      <c r="H130" s="5"/>
    </row>
    <row r="131" spans="1:8" ht="15.5">
      <c r="A131" s="8"/>
      <c r="B131" s="9"/>
      <c r="C131" s="3"/>
      <c r="D131" s="22"/>
      <c r="E131" s="4"/>
      <c r="F131" s="4"/>
      <c r="G131" s="5"/>
      <c r="H131" s="5"/>
    </row>
    <row r="132" spans="1:8" ht="15.5">
      <c r="A132" s="8"/>
      <c r="B132" s="9"/>
      <c r="C132" s="3"/>
      <c r="D132" s="22"/>
      <c r="E132" s="4"/>
      <c r="F132" s="4"/>
      <c r="G132" s="5"/>
      <c r="H132" s="5"/>
    </row>
    <row r="133" spans="1:8" ht="15.5">
      <c r="A133" s="13"/>
      <c r="B133" s="12"/>
      <c r="C133" s="14"/>
      <c r="D133" s="22"/>
      <c r="E133" s="4"/>
      <c r="F133" s="4"/>
      <c r="G133" s="5"/>
      <c r="H133" s="5"/>
    </row>
    <row r="134" spans="1:8" ht="15.5">
      <c r="A134" s="13"/>
      <c r="B134" s="12"/>
      <c r="C134" s="14"/>
      <c r="D134" s="22"/>
      <c r="E134" s="4"/>
      <c r="F134" s="4"/>
      <c r="G134" s="5"/>
      <c r="H134" s="5"/>
    </row>
    <row r="135" spans="1:8" ht="15.5">
      <c r="A135" s="8"/>
      <c r="B135" s="9"/>
      <c r="C135" s="3"/>
      <c r="D135" s="22"/>
      <c r="E135" s="4"/>
      <c r="F135" s="4"/>
      <c r="G135" s="5"/>
      <c r="H135" s="5"/>
    </row>
    <row r="136" spans="1:8" ht="15.5">
      <c r="A136" s="13"/>
      <c r="C136" s="16"/>
      <c r="D136" s="22"/>
      <c r="E136" s="4"/>
      <c r="F136" s="4"/>
      <c r="G136" s="5"/>
      <c r="H136" s="5"/>
    </row>
    <row r="137" spans="1:8" ht="15.5">
      <c r="A137" s="13"/>
      <c r="B137" s="12"/>
      <c r="C137" s="14"/>
      <c r="D137" s="22"/>
      <c r="E137" s="4"/>
      <c r="F137" s="4"/>
      <c r="G137" s="5"/>
      <c r="H137" s="5"/>
    </row>
    <row r="138" spans="1:8" ht="15.5">
      <c r="A138" s="13"/>
      <c r="B138" s="12"/>
      <c r="C138" s="14"/>
      <c r="D138" s="22"/>
      <c r="E138" s="4"/>
      <c r="F138" s="4"/>
      <c r="G138" s="5"/>
      <c r="H138" s="5"/>
    </row>
    <row r="139" spans="1:8" ht="15.5">
      <c r="A139" s="13"/>
      <c r="B139" s="12"/>
      <c r="C139" s="14"/>
      <c r="D139" s="22"/>
      <c r="E139" s="4"/>
      <c r="F139" s="4"/>
      <c r="G139" s="5"/>
      <c r="H139" s="5"/>
    </row>
    <row r="140" spans="1:8" ht="15.5">
      <c r="A140" s="8"/>
      <c r="B140" s="12"/>
      <c r="C140" s="14"/>
      <c r="D140" s="22"/>
      <c r="E140" s="4"/>
      <c r="F140" s="4"/>
      <c r="G140" s="5"/>
      <c r="H140" s="5"/>
    </row>
    <row r="141" spans="1:8" ht="15.5">
      <c r="A141" s="8"/>
      <c r="B141" s="9"/>
      <c r="C141" s="3"/>
      <c r="D141" s="22"/>
      <c r="E141" s="4"/>
      <c r="F141" s="4"/>
      <c r="G141" s="5"/>
      <c r="H141" s="5"/>
    </row>
    <row r="142" spans="1:8" ht="15.5">
      <c r="A142" s="8"/>
      <c r="B142" s="9"/>
      <c r="C142" s="3"/>
      <c r="D142" s="22"/>
      <c r="E142" s="4"/>
      <c r="F142" s="4"/>
      <c r="G142" s="5"/>
      <c r="H142" s="5"/>
    </row>
    <row r="143" spans="1:8" ht="15.5">
      <c r="A143" s="8"/>
      <c r="B143" s="9"/>
      <c r="C143" s="3"/>
      <c r="D143" s="22"/>
      <c r="E143" s="4"/>
      <c r="F143" s="4"/>
      <c r="G143" s="5"/>
      <c r="H143" s="5"/>
    </row>
    <row r="144" spans="1:8" ht="15.5">
      <c r="A144" s="8"/>
      <c r="B144" s="9"/>
      <c r="C144" s="3"/>
      <c r="D144" s="22"/>
      <c r="E144" s="4"/>
      <c r="F144" s="4"/>
      <c r="G144" s="5"/>
      <c r="H144" s="5"/>
    </row>
    <row r="145" spans="1:8" ht="15.5">
      <c r="A145" s="8"/>
      <c r="B145" s="9"/>
      <c r="C145" s="3"/>
      <c r="D145" s="22"/>
      <c r="E145" s="4"/>
      <c r="F145" s="4"/>
      <c r="G145" s="5"/>
      <c r="H145" s="5"/>
    </row>
    <row r="146" spans="1:8" ht="15.5">
      <c r="A146" s="8"/>
      <c r="B146" s="9"/>
      <c r="C146" s="3"/>
      <c r="D146" s="22"/>
      <c r="E146" s="4"/>
      <c r="F146" s="4"/>
      <c r="G146" s="5"/>
      <c r="H146" s="5"/>
    </row>
    <row r="147" spans="1:8" ht="15.5">
      <c r="A147" s="8"/>
      <c r="C147" s="18"/>
      <c r="D147" s="22"/>
      <c r="E147" s="4"/>
      <c r="F147" s="4"/>
      <c r="G147" s="5"/>
      <c r="H147" s="5"/>
    </row>
    <row r="148" spans="1:8" ht="15.5">
      <c r="A148" s="8"/>
      <c r="B148" s="9"/>
      <c r="C148" s="3"/>
      <c r="D148" s="22"/>
      <c r="E148" s="4"/>
      <c r="F148" s="4"/>
      <c r="G148" s="5"/>
      <c r="H148" s="5"/>
    </row>
    <row r="149" spans="1:8" ht="15.5">
      <c r="A149" s="8"/>
      <c r="B149" s="9"/>
      <c r="C149" s="3"/>
      <c r="D149" s="22"/>
      <c r="E149" s="4"/>
      <c r="F149" s="4"/>
      <c r="G149" s="5"/>
      <c r="H149" s="5"/>
    </row>
    <row r="150" spans="1:8" ht="15.5">
      <c r="A150" s="8"/>
      <c r="B150" s="9"/>
      <c r="C150" s="3"/>
      <c r="D150" s="22"/>
      <c r="E150" s="4"/>
      <c r="F150" s="4"/>
      <c r="G150" s="5"/>
      <c r="H150" s="5"/>
    </row>
    <row r="151" spans="1:8" ht="15.5">
      <c r="A151" s="8"/>
      <c r="B151" s="9"/>
      <c r="C151" s="3"/>
      <c r="D151" s="22"/>
      <c r="E151" s="4"/>
      <c r="F151" s="4"/>
      <c r="G151" s="5"/>
      <c r="H151" s="5"/>
    </row>
    <row r="152" spans="1:8" ht="15.5">
      <c r="A152" s="8"/>
      <c r="B152" s="9"/>
      <c r="C152" s="3"/>
      <c r="D152" s="22"/>
      <c r="E152" s="4"/>
      <c r="F152" s="4"/>
      <c r="G152" s="5"/>
      <c r="H152" s="5"/>
    </row>
    <row r="153" spans="1:8" ht="15.5">
      <c r="A153" s="8"/>
      <c r="B153" s="9"/>
      <c r="C153" s="3"/>
      <c r="D153" s="22"/>
      <c r="E153" s="4"/>
      <c r="F153" s="4"/>
      <c r="G153" s="5"/>
      <c r="H153" s="5"/>
    </row>
    <row r="154" spans="1:8" ht="15.5">
      <c r="A154" s="8"/>
      <c r="B154" s="9"/>
      <c r="C154" s="3"/>
      <c r="D154" s="22"/>
      <c r="E154" s="4"/>
      <c r="F154" s="4"/>
      <c r="G154" s="5"/>
      <c r="H154" s="5"/>
    </row>
    <row r="155" spans="1:8" ht="15.5">
      <c r="A155" s="8"/>
      <c r="B155" s="9"/>
      <c r="C155" s="3"/>
      <c r="D155" s="22"/>
      <c r="E155" s="4"/>
      <c r="F155" s="4"/>
      <c r="G155" s="5"/>
      <c r="H155" s="5"/>
    </row>
    <row r="156" spans="1:8" ht="15.5">
      <c r="A156" s="8"/>
      <c r="B156" s="9"/>
      <c r="C156" s="3"/>
      <c r="D156" s="22"/>
      <c r="E156" s="4"/>
      <c r="F156" s="4"/>
      <c r="G156" s="5"/>
      <c r="H156" s="5"/>
    </row>
    <row r="157" spans="1:8" ht="15.5">
      <c r="A157" s="8"/>
      <c r="B157" s="9"/>
      <c r="C157" s="3"/>
      <c r="D157" s="22"/>
      <c r="E157" s="4"/>
      <c r="F157" s="4"/>
      <c r="G157" s="5"/>
      <c r="H157" s="5"/>
    </row>
    <row r="158" spans="1:8" ht="15.5">
      <c r="A158" s="8"/>
      <c r="B158" s="9"/>
      <c r="C158" s="3"/>
      <c r="D158" s="22"/>
      <c r="E158" s="4"/>
      <c r="F158" s="4"/>
      <c r="G158" s="5"/>
      <c r="H158" s="5"/>
    </row>
    <row r="159" spans="1:8" ht="15.5">
      <c r="A159" s="8"/>
      <c r="B159" s="9"/>
      <c r="C159" s="3"/>
      <c r="D159" s="22"/>
      <c r="E159" s="4"/>
      <c r="F159" s="4"/>
      <c r="G159" s="5"/>
      <c r="H159" s="5"/>
    </row>
    <row r="160" spans="1:8" ht="15.5">
      <c r="A160" s="8"/>
      <c r="B160" s="9"/>
      <c r="C160" s="3"/>
      <c r="D160" s="22"/>
      <c r="E160" s="4"/>
      <c r="F160" s="4"/>
      <c r="G160" s="5"/>
      <c r="H160" s="5"/>
    </row>
    <row r="161" spans="1:8" ht="15.5">
      <c r="A161" s="8"/>
      <c r="B161" s="9"/>
      <c r="C161" s="3"/>
      <c r="D161" s="22"/>
      <c r="E161" s="17"/>
      <c r="F161" s="4"/>
      <c r="G161" s="5"/>
      <c r="H161" s="5"/>
    </row>
    <row r="162" spans="1:8" ht="15.5">
      <c r="A162" s="13"/>
      <c r="B162" s="12"/>
      <c r="C162" s="3"/>
      <c r="D162" s="22"/>
    </row>
    <row r="163" spans="1:8" ht="15.5">
      <c r="A163" s="8"/>
      <c r="B163" s="9"/>
      <c r="C163" s="3"/>
      <c r="D163" s="22"/>
      <c r="G163" s="2">
        <v>250</v>
      </c>
      <c r="H163" s="11">
        <f>+F163*G163</f>
        <v>0</v>
      </c>
    </row>
    <row r="164" spans="1:8" ht="15.5">
      <c r="A164" s="8"/>
      <c r="B164" s="9"/>
      <c r="C164" s="3"/>
      <c r="D164" s="22"/>
      <c r="G164" s="2">
        <v>250</v>
      </c>
      <c r="H164" s="11">
        <f>+F164*G164</f>
        <v>0</v>
      </c>
    </row>
    <row r="165" spans="1:8" ht="15.5">
      <c r="A165" s="8"/>
      <c r="B165" s="9"/>
      <c r="C165" s="3"/>
      <c r="D165" s="22"/>
    </row>
    <row r="166" spans="1:8" ht="15.5">
      <c r="A166" s="8"/>
      <c r="B166" s="9"/>
      <c r="C166" s="3"/>
      <c r="D166" s="22"/>
    </row>
    <row r="167" spans="1:8" ht="15.5">
      <c r="A167" s="8"/>
      <c r="B167" s="9"/>
      <c r="C167" s="3"/>
      <c r="D167" s="22"/>
    </row>
    <row r="168" spans="1:8" ht="15.5">
      <c r="A168" s="23"/>
      <c r="B168" s="5"/>
      <c r="C168" s="18"/>
      <c r="D168" s="22"/>
    </row>
    <row r="169" spans="1:8" ht="15.5">
      <c r="A169" s="8"/>
      <c r="B169" s="9"/>
      <c r="C169" s="3"/>
      <c r="D169" s="22"/>
      <c r="H169">
        <v>15000</v>
      </c>
    </row>
    <row r="170" spans="1:8" ht="15.5">
      <c r="A170" s="8"/>
      <c r="B170" s="9"/>
      <c r="C170" s="3"/>
      <c r="D170" s="22"/>
    </row>
    <row r="171" spans="1:8" ht="15.5">
      <c r="A171" s="23"/>
      <c r="B171" s="5"/>
      <c r="C171" s="18"/>
      <c r="D171" s="22"/>
    </row>
    <row r="172" spans="1:8" ht="15.5">
      <c r="A172" s="13"/>
      <c r="B172" s="12"/>
      <c r="C172" s="3"/>
      <c r="D172" s="22"/>
    </row>
    <row r="173" spans="1:8" ht="15.5">
      <c r="A173" s="8"/>
      <c r="B173" s="9"/>
      <c r="C173" s="3"/>
      <c r="D173" s="22"/>
    </row>
    <row r="174" spans="1:8" ht="15.5">
      <c r="A174" s="8"/>
      <c r="B174" s="9"/>
      <c r="C174" s="3"/>
      <c r="D174" s="22"/>
    </row>
    <row r="175" spans="1:8" ht="15.5">
      <c r="A175" s="8"/>
      <c r="B175" s="9"/>
      <c r="C175" s="3"/>
      <c r="D175" s="22"/>
    </row>
    <row r="176" spans="1:8" ht="15.5">
      <c r="A176" s="8"/>
      <c r="B176" s="9"/>
      <c r="C176" s="3"/>
      <c r="D176" s="22"/>
    </row>
    <row r="177" spans="1:8" ht="15.5">
      <c r="A177" s="8"/>
      <c r="B177" s="9"/>
      <c r="C177" s="3"/>
      <c r="D177" s="22"/>
    </row>
    <row r="178" spans="1:8" ht="15.5">
      <c r="A178" s="8"/>
      <c r="B178" s="9"/>
      <c r="C178" s="3"/>
      <c r="D178" s="22"/>
      <c r="F178">
        <v>325000</v>
      </c>
      <c r="G178" s="24">
        <v>3.4200000000000001E-2</v>
      </c>
      <c r="H178" s="11">
        <f>+F178*G178</f>
        <v>11115</v>
      </c>
    </row>
    <row r="179" spans="1:8" ht="15.5">
      <c r="A179" s="8"/>
      <c r="B179" s="9"/>
      <c r="C179" s="3"/>
      <c r="D179" s="22"/>
      <c r="F179">
        <v>1325000</v>
      </c>
      <c r="G179" s="25">
        <v>3.4200000000000001E-2</v>
      </c>
      <c r="H179" s="11">
        <f>+F179*G179</f>
        <v>45315</v>
      </c>
    </row>
    <row r="180" spans="1:8" ht="15.5">
      <c r="A180" s="8"/>
      <c r="B180" s="9"/>
      <c r="C180" s="3"/>
      <c r="D180" s="22"/>
    </row>
    <row r="181" spans="1:8" ht="15.5">
      <c r="A181" s="8"/>
      <c r="B181" s="9"/>
      <c r="C181" s="3"/>
      <c r="D181" s="22"/>
    </row>
    <row r="182" spans="1:8" ht="15.5">
      <c r="A182" s="8"/>
      <c r="B182" s="9"/>
      <c r="C182" s="3"/>
      <c r="D182" s="10"/>
      <c r="F182">
        <f>250*5300</f>
        <v>1325000</v>
      </c>
      <c r="H182">
        <f>SUM(H169:H181)</f>
        <v>71430</v>
      </c>
    </row>
    <row r="183" spans="1:8" ht="15.5">
      <c r="A183" s="8"/>
      <c r="B183" s="9"/>
      <c r="C183" s="3"/>
    </row>
    <row r="184" spans="1:8" ht="15.5">
      <c r="A184" s="8"/>
      <c r="B184" s="9"/>
      <c r="C184" s="3"/>
    </row>
    <row r="185" spans="1:8" ht="15.5">
      <c r="A185" s="8"/>
      <c r="B185" s="9"/>
      <c r="C185" s="3"/>
    </row>
    <row r="186" spans="1:8" ht="15.5">
      <c r="A186" s="8"/>
      <c r="B186" s="9"/>
      <c r="C186" s="3"/>
    </row>
    <row r="187" spans="1:8" ht="15.5">
      <c r="A187" s="8"/>
      <c r="B187" s="9"/>
      <c r="C187" s="3"/>
    </row>
    <row r="188" spans="1:8" ht="15.5">
      <c r="A188" s="8"/>
      <c r="B188" s="9"/>
      <c r="C188" s="3"/>
    </row>
    <row r="189" spans="1:8" ht="15.5">
      <c r="A189" s="8"/>
      <c r="B189" s="9"/>
      <c r="C189" s="3"/>
    </row>
    <row r="190" spans="1:8" ht="15.5">
      <c r="A190" s="8"/>
      <c r="B190" s="9"/>
      <c r="C190" s="3"/>
    </row>
    <row r="191" spans="1:8" ht="15.5">
      <c r="A191" s="8"/>
      <c r="B191" s="9"/>
      <c r="C191" s="3"/>
    </row>
    <row r="192" spans="1:8" ht="15.5">
      <c r="A192" s="8"/>
      <c r="B192" s="9"/>
      <c r="C192" s="3"/>
    </row>
    <row r="193" spans="1:3" ht="15.5">
      <c r="A193" s="8"/>
      <c r="B193" s="9"/>
      <c r="C193" s="3"/>
    </row>
    <row r="194" spans="1:3" ht="15.5">
      <c r="A194" s="8"/>
      <c r="B194" s="9"/>
      <c r="C194" s="3"/>
    </row>
    <row r="195" spans="1:3" ht="15.5">
      <c r="A195" s="8"/>
      <c r="B195" s="12"/>
      <c r="C195" s="14"/>
    </row>
    <row r="196" spans="1:3">
      <c r="A196" s="13"/>
      <c r="C196" s="16"/>
    </row>
    <row r="197" spans="1:3">
      <c r="A197" s="13"/>
      <c r="B197" s="12"/>
      <c r="C197" s="14"/>
    </row>
    <row r="198" spans="1:3">
      <c r="A198" s="13"/>
      <c r="B198" s="12"/>
      <c r="C198" s="14"/>
    </row>
    <row r="199" spans="1:3">
      <c r="A199" s="13"/>
      <c r="B199" s="12"/>
      <c r="C199" s="14"/>
    </row>
    <row r="200" spans="1:3">
      <c r="A200" s="13"/>
      <c r="B200" s="12"/>
      <c r="C200" s="14"/>
    </row>
    <row r="201" spans="1:3">
      <c r="A201" s="13"/>
      <c r="B201" s="12"/>
      <c r="C201" s="14"/>
    </row>
    <row r="202" spans="1:3" ht="15.5">
      <c r="A202" s="8"/>
      <c r="B202" s="9"/>
      <c r="C202" s="3"/>
    </row>
    <row r="203" spans="1:3" ht="15.5">
      <c r="A203" s="8"/>
      <c r="B203" s="9"/>
      <c r="C203" s="3"/>
    </row>
    <row r="204" spans="1:3" ht="15.5">
      <c r="A204" s="8"/>
      <c r="B204" s="9"/>
      <c r="C204" s="3"/>
    </row>
    <row r="205" spans="1:3" ht="15.5">
      <c r="A205" s="8"/>
      <c r="B205" s="9"/>
      <c r="C205" s="3"/>
    </row>
  </sheetData>
  <mergeCells count="2">
    <mergeCell ref="A1:C1"/>
    <mergeCell ref="G2:H2"/>
  </mergeCells>
  <pageMargins left="0.7" right="0.7" top="0.75" bottom="0.75" header="0.511811023622047" footer="0.511811023622047"/>
  <pageSetup orientation="portrait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5"/>
  <sheetViews>
    <sheetView zoomScaleNormal="100" workbookViewId="0">
      <selection activeCell="A28" sqref="A28"/>
    </sheetView>
  </sheetViews>
  <sheetFormatPr baseColWidth="10" defaultColWidth="8.7265625" defaultRowHeight="14.5"/>
  <cols>
    <col min="1" max="1" width="7.54296875" customWidth="1"/>
    <col min="2" max="2" width="12.54296875" style="2" customWidth="1"/>
    <col min="3" max="3" width="25.1796875" customWidth="1"/>
    <col min="4" max="4" width="11.81640625" customWidth="1"/>
    <col min="5" max="5" width="11.453125" customWidth="1"/>
    <col min="6" max="6" width="30.453125" customWidth="1"/>
    <col min="7" max="7" width="25.81640625" style="2" customWidth="1"/>
    <col min="8" max="8" width="15.1796875" customWidth="1"/>
    <col min="9" max="9" width="11.1796875" style="2" customWidth="1"/>
    <col min="10" max="10" width="14.81640625" customWidth="1"/>
  </cols>
  <sheetData>
    <row r="1" spans="1:8" ht="15.5">
      <c r="A1" s="209" t="s">
        <v>0</v>
      </c>
      <c r="B1" s="209"/>
      <c r="C1" s="209"/>
      <c r="D1" s="3"/>
      <c r="E1" s="4"/>
      <c r="F1" s="4"/>
      <c r="G1" s="5"/>
      <c r="H1" s="5"/>
    </row>
    <row r="2" spans="1:8" ht="15.5">
      <c r="A2" s="6" t="s">
        <v>1</v>
      </c>
      <c r="B2" s="7" t="s">
        <v>2</v>
      </c>
      <c r="C2" s="6" t="s">
        <v>3</v>
      </c>
      <c r="D2" s="3"/>
      <c r="E2" s="4"/>
      <c r="F2" s="4"/>
      <c r="G2" s="210" t="s">
        <v>4</v>
      </c>
      <c r="H2" s="210"/>
    </row>
    <row r="3" spans="1:8" ht="15.5">
      <c r="A3" s="8">
        <v>45292</v>
      </c>
      <c r="B3" s="9">
        <v>27573</v>
      </c>
      <c r="C3" s="3" t="s">
        <v>239</v>
      </c>
      <c r="D3" s="3"/>
      <c r="E3" s="4"/>
      <c r="F3" s="4"/>
      <c r="G3" s="9" t="s">
        <v>6</v>
      </c>
      <c r="H3" s="9">
        <v>20000</v>
      </c>
    </row>
    <row r="4" spans="1:8" ht="15.5">
      <c r="A4" s="8">
        <v>45292</v>
      </c>
      <c r="B4" s="2">
        <v>350</v>
      </c>
      <c r="C4" t="s">
        <v>240</v>
      </c>
      <c r="E4" s="4"/>
      <c r="F4" s="4"/>
      <c r="G4" s="9" t="s">
        <v>7</v>
      </c>
      <c r="H4" s="9">
        <v>30000</v>
      </c>
    </row>
    <row r="5" spans="1:8" ht="15.5">
      <c r="A5" s="8">
        <v>45292</v>
      </c>
      <c r="B5" s="9"/>
      <c r="C5" s="3" t="s">
        <v>241</v>
      </c>
      <c r="D5" s="3"/>
      <c r="E5" s="4"/>
      <c r="F5" s="4"/>
      <c r="G5" s="9" t="s">
        <v>9</v>
      </c>
      <c r="H5" s="9">
        <v>40000</v>
      </c>
    </row>
    <row r="6" spans="1:8" ht="15.5">
      <c r="A6" s="8">
        <v>45292</v>
      </c>
      <c r="B6" s="9">
        <v>1133</v>
      </c>
      <c r="C6" s="3" t="s">
        <v>242</v>
      </c>
      <c r="D6" s="3"/>
      <c r="E6" s="4"/>
      <c r="F6" s="4"/>
      <c r="G6" s="9" t="s">
        <v>11</v>
      </c>
      <c r="H6" s="9">
        <v>5000</v>
      </c>
    </row>
    <row r="7" spans="1:8" ht="15.5">
      <c r="A7" s="8">
        <v>45292</v>
      </c>
      <c r="B7" s="9">
        <v>50000</v>
      </c>
      <c r="C7" s="3" t="s">
        <v>243</v>
      </c>
      <c r="D7" s="3"/>
      <c r="E7" s="4"/>
      <c r="F7" s="4"/>
      <c r="G7" s="9"/>
      <c r="H7" s="9"/>
    </row>
    <row r="8" spans="1:8" ht="15.5">
      <c r="A8" s="8">
        <v>45292</v>
      </c>
      <c r="B8" s="9">
        <v>5000</v>
      </c>
      <c r="C8" s="3" t="s">
        <v>244</v>
      </c>
      <c r="D8" s="10">
        <f>+B8+B7</f>
        <v>55000</v>
      </c>
      <c r="E8" s="4"/>
      <c r="F8" s="4"/>
      <c r="G8" s="9" t="s">
        <v>13</v>
      </c>
      <c r="H8" s="9">
        <v>3000</v>
      </c>
    </row>
    <row r="9" spans="1:8" ht="15.5">
      <c r="A9" s="8">
        <v>45295</v>
      </c>
      <c r="B9" s="12">
        <f>-2200*58</f>
        <v>-127600</v>
      </c>
      <c r="C9" s="3" t="s">
        <v>56</v>
      </c>
      <c r="D9" s="10">
        <f t="shared" ref="D9:D40" si="0">+D8+B9</f>
        <v>-72600</v>
      </c>
      <c r="E9" s="4">
        <v>105000</v>
      </c>
      <c r="F9" s="4" t="s">
        <v>104</v>
      </c>
      <c r="G9" s="9" t="s">
        <v>15</v>
      </c>
      <c r="H9" s="9">
        <v>5000</v>
      </c>
    </row>
    <row r="10" spans="1:8" ht="15.5">
      <c r="A10" s="8">
        <v>45295</v>
      </c>
      <c r="B10" s="9">
        <v>-8000</v>
      </c>
      <c r="C10" s="3" t="s">
        <v>245</v>
      </c>
      <c r="D10" s="10">
        <f t="shared" si="0"/>
        <v>-80600</v>
      </c>
      <c r="E10" s="4">
        <v>12000</v>
      </c>
      <c r="F10" s="4" t="s">
        <v>106</v>
      </c>
      <c r="G10" s="9" t="s">
        <v>18</v>
      </c>
      <c r="H10" s="9">
        <v>1500</v>
      </c>
    </row>
    <row r="11" spans="1:8" ht="15.5">
      <c r="A11" s="8">
        <v>45612</v>
      </c>
      <c r="B11" s="9">
        <v>-6000</v>
      </c>
      <c r="C11" s="3" t="s">
        <v>246</v>
      </c>
      <c r="D11" s="10">
        <f t="shared" si="0"/>
        <v>-86600</v>
      </c>
      <c r="E11" s="4">
        <v>8000</v>
      </c>
      <c r="F11" s="4" t="s">
        <v>106</v>
      </c>
      <c r="G11" s="9" t="s">
        <v>19</v>
      </c>
      <c r="H11" s="9">
        <v>10000</v>
      </c>
    </row>
    <row r="12" spans="1:8" ht="15.5">
      <c r="A12" s="8">
        <v>45307</v>
      </c>
      <c r="B12" s="5">
        <v>-3000</v>
      </c>
      <c r="C12" s="18" t="s">
        <v>247</v>
      </c>
      <c r="D12" s="10">
        <f t="shared" si="0"/>
        <v>-89600</v>
      </c>
      <c r="E12" s="4">
        <v>15000</v>
      </c>
      <c r="F12" s="4" t="s">
        <v>34</v>
      </c>
      <c r="G12" s="9" t="s">
        <v>21</v>
      </c>
      <c r="H12" s="9">
        <v>1500</v>
      </c>
    </row>
    <row r="13" spans="1:8" ht="15.5">
      <c r="A13" s="8">
        <v>45320</v>
      </c>
      <c r="B13" s="9">
        <v>-2100</v>
      </c>
      <c r="C13" s="3" t="s">
        <v>248</v>
      </c>
      <c r="D13" s="10">
        <f t="shared" si="0"/>
        <v>-91700</v>
      </c>
      <c r="E13" s="4"/>
      <c r="F13" s="4"/>
      <c r="G13" s="9" t="s">
        <v>23</v>
      </c>
      <c r="H13" s="9">
        <v>25000</v>
      </c>
    </row>
    <row r="14" spans="1:8" ht="15.5">
      <c r="A14" s="8">
        <v>45318</v>
      </c>
      <c r="B14" s="9">
        <v>-3000</v>
      </c>
      <c r="C14" s="3" t="s">
        <v>31</v>
      </c>
      <c r="D14" s="10">
        <f t="shared" si="0"/>
        <v>-94700</v>
      </c>
      <c r="E14" s="4"/>
      <c r="F14" s="4"/>
      <c r="G14" s="9" t="s">
        <v>25</v>
      </c>
      <c r="H14" s="9">
        <v>1500</v>
      </c>
    </row>
    <row r="15" spans="1:8" ht="15.5">
      <c r="A15" s="8">
        <v>45318</v>
      </c>
      <c r="B15" s="9">
        <v>-15000</v>
      </c>
      <c r="C15" s="3" t="s">
        <v>249</v>
      </c>
      <c r="D15" s="10">
        <f t="shared" si="0"/>
        <v>-109700</v>
      </c>
      <c r="E15" s="4"/>
      <c r="F15" s="4"/>
      <c r="G15" s="9"/>
      <c r="H15" s="9"/>
    </row>
    <row r="16" spans="1:8" ht="15.5">
      <c r="A16" s="8">
        <v>45296</v>
      </c>
      <c r="B16" s="12">
        <v>-17000</v>
      </c>
      <c r="C16" s="14" t="s">
        <v>34</v>
      </c>
      <c r="D16" s="10">
        <f t="shared" si="0"/>
        <v>-126700</v>
      </c>
      <c r="E16" s="4">
        <f>SUM(E9:E15)</f>
        <v>140000</v>
      </c>
      <c r="F16" s="4"/>
      <c r="G16" s="9"/>
      <c r="H16" s="9"/>
    </row>
    <row r="17" spans="1:8" ht="15.5">
      <c r="A17" s="8">
        <v>45306</v>
      </c>
      <c r="B17" s="12">
        <v>-3287</v>
      </c>
      <c r="C17" s="14" t="s">
        <v>6</v>
      </c>
      <c r="D17" s="10">
        <f t="shared" si="0"/>
        <v>-129987</v>
      </c>
      <c r="E17" s="4"/>
      <c r="F17" s="4"/>
      <c r="G17" s="15" t="s">
        <v>27</v>
      </c>
      <c r="H17" s="15">
        <f>SUM(H3:H15)</f>
        <v>142500</v>
      </c>
    </row>
    <row r="18" spans="1:8" ht="15.5">
      <c r="A18" s="8">
        <v>45306</v>
      </c>
      <c r="B18" s="9">
        <v>-1144</v>
      </c>
      <c r="C18" s="3" t="s">
        <v>250</v>
      </c>
      <c r="D18" s="10">
        <f t="shared" si="0"/>
        <v>-131131</v>
      </c>
      <c r="E18" s="4"/>
      <c r="F18" s="4"/>
      <c r="G18" s="5" t="s">
        <v>29</v>
      </c>
      <c r="H18" s="5">
        <f>+H17/54</f>
        <v>2638.8888888888887</v>
      </c>
    </row>
    <row r="19" spans="1:8" ht="15.5">
      <c r="A19" s="8">
        <v>45306</v>
      </c>
      <c r="B19" s="9">
        <v>-1285</v>
      </c>
      <c r="C19" s="3" t="s">
        <v>251</v>
      </c>
      <c r="D19" s="10">
        <f t="shared" si="0"/>
        <v>-132416</v>
      </c>
      <c r="E19" s="4"/>
      <c r="F19" s="4"/>
      <c r="G19" s="5"/>
      <c r="H19" s="5"/>
    </row>
    <row r="20" spans="1:8" ht="15.5">
      <c r="A20" s="8">
        <v>45306</v>
      </c>
      <c r="B20" s="12">
        <v>-1654</v>
      </c>
      <c r="C20" s="3" t="s">
        <v>38</v>
      </c>
      <c r="D20" s="10">
        <f t="shared" si="0"/>
        <v>-134070</v>
      </c>
      <c r="E20" s="4"/>
      <c r="F20" s="4"/>
      <c r="G20" s="5"/>
      <c r="H20" s="5"/>
    </row>
    <row r="21" spans="1:8" ht="15.5">
      <c r="A21" s="8">
        <v>45308</v>
      </c>
      <c r="B21" s="5">
        <v>-2751</v>
      </c>
      <c r="C21" s="18" t="s">
        <v>223</v>
      </c>
      <c r="D21" s="10">
        <f t="shared" si="0"/>
        <v>-136821</v>
      </c>
      <c r="E21" s="4"/>
      <c r="F21" s="4"/>
      <c r="G21" s="5" t="s">
        <v>77</v>
      </c>
      <c r="H21" s="5"/>
    </row>
    <row r="22" spans="1:8" ht="15.5">
      <c r="A22" s="8">
        <v>45308</v>
      </c>
      <c r="B22" s="9">
        <v>-792</v>
      </c>
      <c r="C22" s="3" t="s">
        <v>223</v>
      </c>
      <c r="D22" s="10">
        <f t="shared" si="0"/>
        <v>-137613</v>
      </c>
      <c r="E22" s="4"/>
      <c r="F22" s="4"/>
      <c r="G22" s="5" t="s">
        <v>78</v>
      </c>
      <c r="H22" s="5">
        <f>1100*55</f>
        <v>60500</v>
      </c>
    </row>
    <row r="23" spans="1:8" ht="15.5">
      <c r="A23" s="8">
        <v>45309</v>
      </c>
      <c r="B23" s="12">
        <v>-347</v>
      </c>
      <c r="C23" s="14" t="s">
        <v>252</v>
      </c>
      <c r="D23" s="10">
        <f t="shared" si="0"/>
        <v>-137960</v>
      </c>
      <c r="E23" s="4"/>
      <c r="F23" s="4"/>
      <c r="G23" s="5" t="s">
        <v>79</v>
      </c>
      <c r="H23" s="5">
        <v>27000</v>
      </c>
    </row>
    <row r="24" spans="1:8" ht="15.5">
      <c r="A24" s="8">
        <v>45309</v>
      </c>
      <c r="B24" s="12">
        <v>-6754</v>
      </c>
      <c r="C24" s="14" t="s">
        <v>253</v>
      </c>
      <c r="D24" s="10">
        <f t="shared" si="0"/>
        <v>-144714</v>
      </c>
      <c r="E24" s="4"/>
      <c r="F24" s="4"/>
      <c r="G24" s="5"/>
      <c r="H24" s="5"/>
    </row>
    <row r="25" spans="1:8" ht="15.5">
      <c r="A25" s="8">
        <v>45310</v>
      </c>
      <c r="B25" s="12">
        <v>-7960</v>
      </c>
      <c r="C25" s="14" t="s">
        <v>37</v>
      </c>
      <c r="D25" s="10">
        <f t="shared" si="0"/>
        <v>-152674</v>
      </c>
      <c r="E25" s="4"/>
      <c r="F25" s="4"/>
      <c r="G25" s="5" t="s">
        <v>27</v>
      </c>
      <c r="H25" s="17">
        <f>SUM(H22:H24)</f>
        <v>87500</v>
      </c>
    </row>
    <row r="26" spans="1:8" ht="15.5">
      <c r="A26" s="8">
        <v>45313</v>
      </c>
      <c r="B26" s="9">
        <v>-974</v>
      </c>
      <c r="C26" s="3" t="s">
        <v>37</v>
      </c>
      <c r="D26" s="10">
        <f t="shared" si="0"/>
        <v>-153648</v>
      </c>
      <c r="E26" s="4"/>
      <c r="F26" s="4"/>
      <c r="G26" s="5"/>
      <c r="H26" s="4"/>
    </row>
    <row r="27" spans="1:8" ht="15.5">
      <c r="A27" s="8">
        <v>45314</v>
      </c>
      <c r="B27" s="9">
        <v>-2700</v>
      </c>
      <c r="C27" s="3" t="s">
        <v>6</v>
      </c>
      <c r="D27" s="10">
        <f t="shared" si="0"/>
        <v>-156348</v>
      </c>
      <c r="E27" s="4"/>
      <c r="F27" s="4"/>
      <c r="G27" s="5"/>
      <c r="H27" s="4"/>
    </row>
    <row r="28" spans="1:8" ht="15.5">
      <c r="A28" s="8">
        <v>45316</v>
      </c>
      <c r="B28" s="9">
        <v>-4755</v>
      </c>
      <c r="C28" s="3" t="s">
        <v>254</v>
      </c>
      <c r="D28" s="10">
        <f t="shared" si="0"/>
        <v>-161103</v>
      </c>
      <c r="E28" s="4"/>
      <c r="F28" s="4" t="s">
        <v>80</v>
      </c>
      <c r="G28" s="5"/>
      <c r="H28" s="4"/>
    </row>
    <row r="29" spans="1:8" ht="15.5">
      <c r="A29" s="8">
        <v>45321</v>
      </c>
      <c r="B29" s="5">
        <v>-1025</v>
      </c>
      <c r="C29" s="18" t="s">
        <v>177</v>
      </c>
      <c r="D29" s="10">
        <f t="shared" si="0"/>
        <v>-162128</v>
      </c>
      <c r="E29" s="4"/>
      <c r="F29" s="4" t="s">
        <v>81</v>
      </c>
      <c r="G29" s="5">
        <f>4700*56</f>
        <v>263200</v>
      </c>
      <c r="H29" s="5"/>
    </row>
    <row r="30" spans="1:8" ht="15.5">
      <c r="A30" s="8">
        <v>45321</v>
      </c>
      <c r="B30" s="2">
        <v>-3150</v>
      </c>
      <c r="C30" s="18" t="s">
        <v>6</v>
      </c>
      <c r="D30" s="10">
        <f t="shared" si="0"/>
        <v>-165278</v>
      </c>
      <c r="E30" s="4"/>
      <c r="F30" s="4" t="s">
        <v>82</v>
      </c>
      <c r="G30" s="5">
        <v>10000</v>
      </c>
      <c r="H30" s="5"/>
    </row>
    <row r="31" spans="1:8" ht="15.5">
      <c r="A31" s="8">
        <v>45321</v>
      </c>
      <c r="B31" s="9">
        <v>-1402</v>
      </c>
      <c r="C31" s="3" t="s">
        <v>250</v>
      </c>
      <c r="D31" s="10">
        <f t="shared" si="0"/>
        <v>-166680</v>
      </c>
      <c r="E31" s="4"/>
      <c r="F31" s="4" t="s">
        <v>83</v>
      </c>
      <c r="G31" s="5">
        <v>25000</v>
      </c>
      <c r="H31" s="5"/>
    </row>
    <row r="32" spans="1:8" ht="15.5">
      <c r="A32" s="8">
        <v>45300</v>
      </c>
      <c r="B32" s="9">
        <v>-1173</v>
      </c>
      <c r="C32" s="3" t="s">
        <v>37</v>
      </c>
      <c r="D32" s="10">
        <f t="shared" si="0"/>
        <v>-167853</v>
      </c>
      <c r="E32" s="4"/>
      <c r="F32" s="17" t="s">
        <v>84</v>
      </c>
      <c r="G32" s="5">
        <v>35000</v>
      </c>
      <c r="H32" s="5"/>
    </row>
    <row r="33" spans="1:8" ht="15.5">
      <c r="A33" s="8">
        <v>45300</v>
      </c>
      <c r="B33" s="9">
        <v>-750</v>
      </c>
      <c r="C33" s="3" t="s">
        <v>177</v>
      </c>
      <c r="D33" s="10">
        <f t="shared" si="0"/>
        <v>-168603</v>
      </c>
      <c r="E33" s="4"/>
      <c r="F33" s="4" t="s">
        <v>85</v>
      </c>
      <c r="G33" s="5">
        <v>9000</v>
      </c>
      <c r="H33" s="5"/>
    </row>
    <row r="34" spans="1:8" ht="15.5">
      <c r="A34" s="8">
        <v>45300</v>
      </c>
      <c r="B34" s="9">
        <v>-4938</v>
      </c>
      <c r="C34" s="3" t="s">
        <v>37</v>
      </c>
      <c r="D34" s="10">
        <f t="shared" si="0"/>
        <v>-173541</v>
      </c>
      <c r="E34" s="4"/>
      <c r="F34" s="4" t="s">
        <v>86</v>
      </c>
      <c r="G34" s="5">
        <v>9000</v>
      </c>
      <c r="H34" s="5"/>
    </row>
    <row r="35" spans="1:8" ht="15.5">
      <c r="A35" s="8">
        <v>45296</v>
      </c>
      <c r="B35" s="9">
        <v>-1500</v>
      </c>
      <c r="C35" s="3" t="s">
        <v>255</v>
      </c>
      <c r="D35" s="10">
        <f t="shared" si="0"/>
        <v>-175041</v>
      </c>
      <c r="E35" s="4"/>
      <c r="F35" s="4"/>
      <c r="G35" s="5"/>
      <c r="H35" s="5"/>
    </row>
    <row r="36" spans="1:8" ht="15.5">
      <c r="A36" s="8">
        <v>45295</v>
      </c>
      <c r="B36" s="9">
        <v>-3407</v>
      </c>
      <c r="C36" s="3" t="s">
        <v>6</v>
      </c>
      <c r="D36" s="10">
        <f t="shared" si="0"/>
        <v>-178448</v>
      </c>
      <c r="E36" s="4"/>
      <c r="F36" s="4"/>
      <c r="G36" s="5"/>
      <c r="H36" s="5"/>
    </row>
    <row r="37" spans="1:8" ht="15.5">
      <c r="A37" s="8">
        <v>45295</v>
      </c>
      <c r="B37" s="9">
        <v>-1424</v>
      </c>
      <c r="C37" s="3" t="s">
        <v>38</v>
      </c>
      <c r="D37" s="10">
        <f t="shared" si="0"/>
        <v>-179872</v>
      </c>
      <c r="E37" s="4"/>
      <c r="F37" s="4"/>
      <c r="G37" s="5"/>
      <c r="H37" s="5"/>
    </row>
    <row r="38" spans="1:8" ht="15.5">
      <c r="A38" s="8">
        <v>45295</v>
      </c>
      <c r="B38" s="9">
        <v>-1412</v>
      </c>
      <c r="C38" s="3" t="s">
        <v>38</v>
      </c>
      <c r="D38" s="10">
        <f t="shared" si="0"/>
        <v>-181284</v>
      </c>
      <c r="E38" s="4"/>
      <c r="F38" s="4"/>
      <c r="G38" s="5"/>
      <c r="H38" s="5"/>
    </row>
    <row r="39" spans="1:8" ht="15.5">
      <c r="A39" s="8">
        <v>45293</v>
      </c>
      <c r="B39" s="9">
        <v>-2110</v>
      </c>
      <c r="C39" s="3" t="s">
        <v>256</v>
      </c>
      <c r="D39" s="10">
        <f t="shared" si="0"/>
        <v>-183394</v>
      </c>
      <c r="E39" s="4"/>
      <c r="F39" s="4"/>
      <c r="G39" s="5"/>
      <c r="H39" s="5"/>
    </row>
    <row r="40" spans="1:8" ht="15.5">
      <c r="A40" s="8">
        <v>45293</v>
      </c>
      <c r="B40" s="9">
        <v>-2800</v>
      </c>
      <c r="C40" s="3" t="s">
        <v>6</v>
      </c>
      <c r="D40" s="10">
        <f t="shared" si="0"/>
        <v>-186194</v>
      </c>
      <c r="E40" s="4"/>
      <c r="F40" s="4"/>
      <c r="G40" s="5"/>
      <c r="H40" s="5"/>
    </row>
    <row r="41" spans="1:8" ht="15.5">
      <c r="A41" s="8">
        <v>45293</v>
      </c>
      <c r="B41" s="9">
        <v>-4019</v>
      </c>
      <c r="C41" s="3" t="s">
        <v>37</v>
      </c>
      <c r="D41" s="10">
        <f t="shared" ref="D41:D57" si="1">+D40+B41</f>
        <v>-190213</v>
      </c>
      <c r="E41" s="4"/>
      <c r="F41" s="4"/>
      <c r="G41" s="5"/>
      <c r="H41" s="5"/>
    </row>
    <row r="42" spans="1:8" ht="15.5">
      <c r="A42" s="8">
        <v>45301</v>
      </c>
      <c r="B42" s="9">
        <v>-3000</v>
      </c>
      <c r="C42" s="3" t="s">
        <v>31</v>
      </c>
      <c r="D42" s="10">
        <f t="shared" si="1"/>
        <v>-193213</v>
      </c>
      <c r="E42" s="4"/>
      <c r="F42" s="4"/>
      <c r="G42" s="5"/>
      <c r="H42" s="5"/>
    </row>
    <row r="43" spans="1:8" ht="15.5">
      <c r="A43" s="8">
        <v>45322</v>
      </c>
      <c r="B43" s="9">
        <v>-4500</v>
      </c>
      <c r="C43" s="3" t="s">
        <v>37</v>
      </c>
      <c r="D43" s="10">
        <f t="shared" si="1"/>
        <v>-197713</v>
      </c>
      <c r="E43" s="4"/>
      <c r="F43" s="4"/>
      <c r="G43" s="5"/>
      <c r="H43" s="5"/>
    </row>
    <row r="44" spans="1:8" ht="15.5">
      <c r="A44" s="8"/>
      <c r="B44" s="9"/>
      <c r="C44" s="3"/>
      <c r="D44" s="10">
        <f t="shared" si="1"/>
        <v>-197713</v>
      </c>
      <c r="E44" s="4"/>
      <c r="F44" s="4"/>
      <c r="G44" s="5"/>
      <c r="H44" s="5"/>
    </row>
    <row r="45" spans="1:8" ht="15.5">
      <c r="A45" s="8"/>
      <c r="B45" s="9"/>
      <c r="C45" s="21"/>
      <c r="D45" s="10">
        <f t="shared" si="1"/>
        <v>-197713</v>
      </c>
      <c r="E45" s="4"/>
      <c r="F45" s="4"/>
      <c r="G45" s="5"/>
      <c r="H45" s="5"/>
    </row>
    <row r="46" spans="1:8" ht="15.5">
      <c r="A46" s="8"/>
      <c r="B46" s="9"/>
      <c r="C46" s="3"/>
      <c r="D46" s="10">
        <f t="shared" si="1"/>
        <v>-197713</v>
      </c>
      <c r="E46" s="4"/>
      <c r="F46" s="4"/>
      <c r="G46" s="5"/>
      <c r="H46" s="5"/>
    </row>
    <row r="47" spans="1:8" ht="15.5">
      <c r="A47" s="8"/>
      <c r="B47" s="9"/>
      <c r="C47" s="3"/>
      <c r="D47" s="10">
        <f t="shared" si="1"/>
        <v>-197713</v>
      </c>
      <c r="E47" s="4"/>
      <c r="F47" s="4"/>
      <c r="G47" s="5"/>
      <c r="H47" s="5"/>
    </row>
    <row r="48" spans="1:8" ht="15.5">
      <c r="A48" s="8"/>
      <c r="B48" s="9"/>
      <c r="C48" s="3"/>
      <c r="D48" s="10">
        <f t="shared" si="1"/>
        <v>-197713</v>
      </c>
      <c r="E48" s="4"/>
      <c r="F48" s="4"/>
      <c r="G48" s="5"/>
      <c r="H48" s="5"/>
    </row>
    <row r="49" spans="1:8" ht="15.5">
      <c r="A49" s="8"/>
      <c r="B49" s="9"/>
      <c r="C49" s="3"/>
      <c r="D49" s="10">
        <f t="shared" si="1"/>
        <v>-197713</v>
      </c>
      <c r="E49" s="4"/>
      <c r="F49" s="4"/>
      <c r="G49" s="5"/>
      <c r="H49" s="5"/>
    </row>
    <row r="50" spans="1:8" ht="15.5">
      <c r="A50" s="8"/>
      <c r="B50" s="9"/>
      <c r="C50" s="3"/>
      <c r="D50" s="10">
        <f t="shared" si="1"/>
        <v>-197713</v>
      </c>
      <c r="E50" s="4"/>
      <c r="F50" s="4"/>
      <c r="G50" s="5"/>
      <c r="H50" s="5"/>
    </row>
    <row r="51" spans="1:8" ht="15.5">
      <c r="A51" s="8"/>
      <c r="B51" s="9"/>
      <c r="C51" s="3"/>
      <c r="D51" s="10">
        <f t="shared" si="1"/>
        <v>-197713</v>
      </c>
      <c r="E51" s="4"/>
      <c r="F51" s="4"/>
      <c r="G51" s="5"/>
      <c r="H51" s="5"/>
    </row>
    <row r="52" spans="1:8" ht="15.5">
      <c r="A52" s="8"/>
      <c r="B52" s="9"/>
      <c r="C52" s="3"/>
      <c r="D52" s="10">
        <f t="shared" si="1"/>
        <v>-197713</v>
      </c>
      <c r="E52" s="4"/>
      <c r="F52" s="4"/>
      <c r="G52" s="5"/>
      <c r="H52" s="5"/>
    </row>
    <row r="53" spans="1:8" ht="15.5">
      <c r="A53" s="8"/>
      <c r="B53" s="9"/>
      <c r="C53" s="3"/>
      <c r="D53" s="10">
        <f t="shared" si="1"/>
        <v>-197713</v>
      </c>
      <c r="E53" s="4"/>
      <c r="F53" s="4"/>
      <c r="G53" s="5"/>
      <c r="H53" s="5"/>
    </row>
    <row r="54" spans="1:8" ht="15.5">
      <c r="A54" s="8"/>
      <c r="B54" s="9">
        <f>SUM(B9:B53)</f>
        <v>-252713</v>
      </c>
      <c r="C54" s="3"/>
      <c r="D54" s="10">
        <f t="shared" si="1"/>
        <v>-450426</v>
      </c>
      <c r="E54" s="4"/>
      <c r="F54" s="4"/>
      <c r="G54" s="5"/>
      <c r="H54" s="5"/>
    </row>
    <row r="55" spans="1:8" ht="15.5">
      <c r="A55" s="8"/>
      <c r="B55" s="9"/>
      <c r="C55" s="3"/>
      <c r="D55" s="10">
        <f t="shared" si="1"/>
        <v>-450426</v>
      </c>
      <c r="E55" s="4"/>
      <c r="F55" s="4"/>
      <c r="G55" s="5"/>
      <c r="H55" s="5"/>
    </row>
    <row r="56" spans="1:8" ht="15.5">
      <c r="A56" s="8"/>
      <c r="B56" s="9"/>
      <c r="C56" s="3"/>
      <c r="D56" s="10">
        <f t="shared" si="1"/>
        <v>-450426</v>
      </c>
      <c r="E56" s="4"/>
      <c r="F56" s="4"/>
      <c r="G56" s="5"/>
      <c r="H56" s="5"/>
    </row>
    <row r="57" spans="1:8" ht="15.5">
      <c r="A57" s="8"/>
      <c r="B57" s="9"/>
      <c r="C57" s="3"/>
      <c r="D57" s="10">
        <f t="shared" si="1"/>
        <v>-450426</v>
      </c>
      <c r="E57" s="4"/>
      <c r="F57" s="4"/>
      <c r="G57" s="5"/>
      <c r="H57" s="5"/>
    </row>
    <row r="58" spans="1:8" ht="15.5">
      <c r="A58" s="8"/>
      <c r="B58" s="9"/>
      <c r="C58" s="3"/>
      <c r="D58" s="10"/>
      <c r="E58" s="4"/>
      <c r="F58" s="4"/>
      <c r="G58" s="5"/>
      <c r="H58" s="5"/>
    </row>
    <row r="59" spans="1:8" ht="15.5">
      <c r="A59" s="8"/>
      <c r="B59" s="9"/>
      <c r="C59" s="3"/>
      <c r="D59" s="22"/>
      <c r="E59" s="4"/>
      <c r="F59" s="4"/>
      <c r="G59" s="5"/>
      <c r="H59" s="5"/>
    </row>
    <row r="60" spans="1:8" ht="15.5">
      <c r="A60" s="8"/>
      <c r="B60" s="9"/>
      <c r="C60" s="3"/>
      <c r="D60" s="22"/>
      <c r="E60" s="4"/>
      <c r="F60" s="4"/>
      <c r="G60" s="5"/>
      <c r="H60" s="5"/>
    </row>
    <row r="61" spans="1:8" ht="15.5">
      <c r="A61" s="8"/>
      <c r="B61" s="9"/>
      <c r="C61" s="3"/>
      <c r="D61" s="22"/>
      <c r="E61" s="4"/>
      <c r="F61" s="4"/>
      <c r="G61" s="5"/>
      <c r="H61" s="5"/>
    </row>
    <row r="62" spans="1:8" ht="15.5">
      <c r="A62" s="8"/>
      <c r="B62" s="9"/>
      <c r="C62" s="3"/>
      <c r="D62" s="22"/>
      <c r="E62" s="4"/>
      <c r="F62" s="4"/>
      <c r="G62" s="5"/>
      <c r="H62" s="5"/>
    </row>
    <row r="63" spans="1:8" ht="15.5">
      <c r="A63" s="8"/>
      <c r="B63" s="9"/>
      <c r="C63" s="3"/>
      <c r="D63" s="22"/>
      <c r="E63" s="4"/>
      <c r="F63" s="4"/>
      <c r="G63" s="5"/>
      <c r="H63" s="5"/>
    </row>
    <row r="64" spans="1:8" ht="15.5">
      <c r="A64" s="8"/>
      <c r="B64" s="9"/>
      <c r="C64" s="3"/>
      <c r="D64" s="22"/>
      <c r="E64" s="4"/>
      <c r="F64" s="4"/>
      <c r="G64" s="5"/>
      <c r="H64" s="5"/>
    </row>
    <row r="65" spans="1:10" ht="15.5">
      <c r="A65" s="8"/>
      <c r="B65" s="9"/>
      <c r="C65" s="3"/>
      <c r="D65" s="22"/>
      <c r="E65" s="4"/>
      <c r="F65" s="4"/>
      <c r="G65" s="5"/>
      <c r="H65" s="5"/>
    </row>
    <row r="66" spans="1:10" ht="15.5">
      <c r="A66" s="8"/>
      <c r="B66" s="9"/>
      <c r="C66" s="3"/>
      <c r="D66" s="22"/>
      <c r="E66" s="4"/>
      <c r="F66" s="4"/>
      <c r="G66" s="5"/>
      <c r="H66" s="5"/>
    </row>
    <row r="67" spans="1:10" ht="15.5">
      <c r="A67" s="8"/>
      <c r="B67" s="9"/>
      <c r="C67" s="3"/>
      <c r="D67" s="22"/>
      <c r="E67" s="4"/>
      <c r="F67" s="4"/>
      <c r="G67" s="5"/>
      <c r="H67" s="5"/>
    </row>
    <row r="68" spans="1:10" ht="15.5">
      <c r="A68" s="8"/>
      <c r="B68" s="9"/>
      <c r="C68" s="3"/>
      <c r="D68" s="22"/>
      <c r="E68" s="4"/>
      <c r="F68" s="4"/>
      <c r="G68" s="5"/>
      <c r="H68" s="5"/>
    </row>
    <row r="69" spans="1:10" ht="15.5">
      <c r="A69" s="8"/>
      <c r="B69" s="9"/>
      <c r="C69" s="3"/>
      <c r="D69" s="22"/>
      <c r="E69" s="4"/>
      <c r="F69" s="4"/>
      <c r="G69" s="5"/>
      <c r="H69" s="5"/>
    </row>
    <row r="70" spans="1:10" ht="15.5">
      <c r="A70" s="8">
        <v>45232</v>
      </c>
      <c r="B70" s="12"/>
      <c r="C70" s="14" t="s">
        <v>30</v>
      </c>
      <c r="D70" s="10">
        <f t="shared" ref="D70:D101" si="2">+D69+B70</f>
        <v>0</v>
      </c>
      <c r="E70" s="4"/>
      <c r="F70" s="4"/>
      <c r="G70" s="5"/>
      <c r="H70" s="5"/>
    </row>
    <row r="71" spans="1:10" ht="15.5">
      <c r="A71" s="8">
        <v>45232</v>
      </c>
      <c r="B71" s="12"/>
      <c r="C71" s="14" t="s">
        <v>19</v>
      </c>
      <c r="D71" s="10">
        <f t="shared" si="2"/>
        <v>0</v>
      </c>
      <c r="E71" s="4"/>
      <c r="F71" s="4"/>
      <c r="G71" s="5"/>
      <c r="H71" s="5"/>
    </row>
    <row r="72" spans="1:10" ht="15.5">
      <c r="A72" s="8">
        <v>45233</v>
      </c>
      <c r="B72" s="9">
        <v>-500</v>
      </c>
      <c r="C72" s="3" t="s">
        <v>31</v>
      </c>
      <c r="D72" s="10">
        <f t="shared" si="2"/>
        <v>-500</v>
      </c>
      <c r="E72" s="4"/>
      <c r="F72" s="4"/>
      <c r="G72" s="5"/>
      <c r="H72" s="5"/>
      <c r="J72" s="2"/>
    </row>
    <row r="73" spans="1:10" ht="15.5">
      <c r="A73" s="8">
        <v>45234</v>
      </c>
      <c r="B73" s="2">
        <v>-2300</v>
      </c>
      <c r="C73" s="16" t="s">
        <v>6</v>
      </c>
      <c r="D73" s="10">
        <f t="shared" si="2"/>
        <v>-2800</v>
      </c>
      <c r="E73" s="4"/>
      <c r="F73" s="4"/>
      <c r="G73" s="5"/>
      <c r="H73" s="5"/>
    </row>
    <row r="74" spans="1:10" ht="15.5">
      <c r="A74" s="8">
        <v>45234</v>
      </c>
      <c r="B74" s="12">
        <v>-1300</v>
      </c>
      <c r="C74" s="14" t="s">
        <v>32</v>
      </c>
      <c r="D74" s="10">
        <f t="shared" si="2"/>
        <v>-4100</v>
      </c>
      <c r="E74" s="4"/>
      <c r="F74" s="4"/>
      <c r="G74" s="5">
        <f>SUM(G29:G73)</f>
        <v>351200</v>
      </c>
      <c r="H74" s="5"/>
    </row>
    <row r="75" spans="1:10" ht="15.5">
      <c r="A75" s="8">
        <v>45234</v>
      </c>
      <c r="B75" s="12">
        <v>-1200</v>
      </c>
      <c r="C75" s="14" t="s">
        <v>33</v>
      </c>
      <c r="D75" s="10">
        <f t="shared" si="2"/>
        <v>-5300</v>
      </c>
      <c r="E75" s="4"/>
      <c r="F75" s="4"/>
      <c r="G75" s="5"/>
      <c r="H75" s="5"/>
      <c r="J75" s="11"/>
    </row>
    <row r="76" spans="1:10" ht="15.5">
      <c r="A76" s="8">
        <v>45235</v>
      </c>
      <c r="B76" s="9">
        <f>-300*56</f>
        <v>-16800</v>
      </c>
      <c r="C76" s="3" t="s">
        <v>34</v>
      </c>
      <c r="D76" s="10">
        <f t="shared" si="2"/>
        <v>-22100</v>
      </c>
      <c r="E76" s="4"/>
      <c r="F76" s="4"/>
      <c r="G76" s="5"/>
      <c r="H76" s="5"/>
    </row>
    <row r="77" spans="1:10" ht="15.5">
      <c r="A77" s="8">
        <v>45238</v>
      </c>
      <c r="B77" s="9">
        <v>-600</v>
      </c>
      <c r="C77" s="3" t="s">
        <v>35</v>
      </c>
      <c r="D77" s="10">
        <f t="shared" si="2"/>
        <v>-22700</v>
      </c>
      <c r="E77" s="4"/>
      <c r="F77" s="4"/>
      <c r="G77" s="5"/>
      <c r="H77" s="5"/>
    </row>
    <row r="78" spans="1:10" ht="15.5">
      <c r="A78" s="8">
        <v>45238</v>
      </c>
      <c r="B78" s="9"/>
      <c r="C78" s="3" t="s">
        <v>36</v>
      </c>
      <c r="D78" s="10">
        <f t="shared" si="2"/>
        <v>-22700</v>
      </c>
      <c r="E78" s="4"/>
      <c r="F78" s="4"/>
      <c r="G78" s="5"/>
      <c r="H78" s="5"/>
    </row>
    <row r="79" spans="1:10" ht="15.5">
      <c r="A79" s="8">
        <v>45238</v>
      </c>
      <c r="B79" s="9"/>
      <c r="C79" s="3" t="s">
        <v>37</v>
      </c>
      <c r="D79" s="10">
        <f t="shared" si="2"/>
        <v>-22700</v>
      </c>
      <c r="E79" s="4"/>
      <c r="F79" s="17"/>
      <c r="G79" s="5"/>
      <c r="H79" s="5"/>
    </row>
    <row r="80" spans="1:10" ht="15.5">
      <c r="A80" s="8">
        <v>45234</v>
      </c>
      <c r="B80" s="9">
        <v>-1424</v>
      </c>
      <c r="C80" s="3" t="s">
        <v>38</v>
      </c>
      <c r="D80" s="10">
        <f t="shared" si="2"/>
        <v>-24124</v>
      </c>
      <c r="E80" s="4"/>
      <c r="F80" s="4"/>
      <c r="G80" s="5"/>
      <c r="H80" s="5"/>
    </row>
    <row r="81" spans="1:10" ht="15.5">
      <c r="A81" s="8">
        <v>45238</v>
      </c>
      <c r="B81" s="9"/>
      <c r="C81" s="3"/>
      <c r="D81" s="10">
        <f t="shared" si="2"/>
        <v>-24124</v>
      </c>
      <c r="E81" s="4"/>
      <c r="F81" s="4"/>
      <c r="G81" s="5"/>
      <c r="H81" s="5"/>
    </row>
    <row r="82" spans="1:10" ht="15.5">
      <c r="A82" s="8">
        <v>45240</v>
      </c>
      <c r="B82" s="2">
        <v>-1000</v>
      </c>
      <c r="C82" s="18" t="s">
        <v>31</v>
      </c>
      <c r="D82" s="10">
        <f t="shared" si="2"/>
        <v>-25124</v>
      </c>
      <c r="E82" s="4"/>
      <c r="F82" s="4"/>
      <c r="G82" s="5"/>
      <c r="H82" s="5"/>
    </row>
    <row r="83" spans="1:10" ht="15.5">
      <c r="A83" s="8">
        <v>45239</v>
      </c>
      <c r="B83" s="9">
        <v>-500</v>
      </c>
      <c r="C83" s="3" t="s">
        <v>37</v>
      </c>
      <c r="D83" s="10">
        <f t="shared" si="2"/>
        <v>-25624</v>
      </c>
      <c r="E83" s="4"/>
      <c r="F83" s="4"/>
      <c r="G83" s="5"/>
      <c r="H83" s="5"/>
    </row>
    <row r="84" spans="1:10" ht="15.5">
      <c r="A84" s="8">
        <v>45237</v>
      </c>
      <c r="B84" s="9">
        <v>-2400</v>
      </c>
      <c r="C84" s="3" t="s">
        <v>6</v>
      </c>
      <c r="D84" s="10">
        <f t="shared" si="2"/>
        <v>-28024</v>
      </c>
      <c r="E84" s="4"/>
      <c r="F84" s="4"/>
      <c r="G84" s="5"/>
      <c r="H84" s="5"/>
      <c r="J84" s="11">
        <v>284865</v>
      </c>
    </row>
    <row r="85" spans="1:10" ht="15.5">
      <c r="A85" s="8">
        <v>45237</v>
      </c>
      <c r="B85" s="9">
        <v>-1097</v>
      </c>
      <c r="C85" s="3" t="s">
        <v>33</v>
      </c>
      <c r="D85" s="10">
        <f t="shared" si="2"/>
        <v>-29121</v>
      </c>
      <c r="E85" s="4"/>
      <c r="F85" s="4" t="s">
        <v>39</v>
      </c>
      <c r="G85" s="2">
        <v>385000</v>
      </c>
      <c r="H85" s="5"/>
    </row>
    <row r="86" spans="1:10" ht="15.5">
      <c r="A86" s="8">
        <v>45237</v>
      </c>
      <c r="B86" s="9">
        <v>-1150</v>
      </c>
      <c r="C86" s="3" t="s">
        <v>40</v>
      </c>
      <c r="D86" s="10">
        <f t="shared" si="2"/>
        <v>-30271</v>
      </c>
      <c r="E86" s="4"/>
      <c r="F86" s="4" t="s">
        <v>41</v>
      </c>
      <c r="G86" s="2">
        <v>-3133.64</v>
      </c>
      <c r="H86" s="5"/>
    </row>
    <row r="87" spans="1:10" ht="15.5">
      <c r="A87" s="8">
        <v>45237</v>
      </c>
      <c r="B87" s="9">
        <v>-731</v>
      </c>
      <c r="C87" s="3" t="s">
        <v>42</v>
      </c>
      <c r="D87" s="10">
        <f t="shared" si="2"/>
        <v>-31002</v>
      </c>
      <c r="E87" s="4"/>
      <c r="F87" s="19" t="s">
        <v>43</v>
      </c>
      <c r="G87" s="2">
        <v>-368.66</v>
      </c>
      <c r="H87" s="5"/>
    </row>
    <row r="88" spans="1:10" ht="15.5">
      <c r="A88" s="8">
        <v>45239</v>
      </c>
      <c r="B88" s="9">
        <v>-3050</v>
      </c>
      <c r="C88" s="3" t="s">
        <v>37</v>
      </c>
      <c r="D88" s="10">
        <f t="shared" si="2"/>
        <v>-34052</v>
      </c>
      <c r="E88" s="4"/>
      <c r="F88" s="4" t="s">
        <v>44</v>
      </c>
      <c r="G88" s="2">
        <v>-1163.1300000000001</v>
      </c>
      <c r="H88" s="5"/>
    </row>
    <row r="89" spans="1:10" ht="15.5">
      <c r="A89" s="8">
        <v>45239</v>
      </c>
      <c r="B89" s="9">
        <v>-1173</v>
      </c>
      <c r="C89" s="3" t="s">
        <v>37</v>
      </c>
      <c r="D89" s="10">
        <f t="shared" si="2"/>
        <v>-35225</v>
      </c>
      <c r="E89" s="4"/>
      <c r="F89" s="4" t="s">
        <v>45</v>
      </c>
      <c r="G89" s="2">
        <v>-553</v>
      </c>
      <c r="H89" s="5"/>
    </row>
    <row r="90" spans="1:10" ht="15.5">
      <c r="A90" s="20">
        <v>45258</v>
      </c>
      <c r="B90" s="2">
        <v>-670</v>
      </c>
      <c r="C90" s="18" t="s">
        <v>19</v>
      </c>
      <c r="D90" s="10">
        <f t="shared" si="2"/>
        <v>-35895</v>
      </c>
      <c r="E90" s="4"/>
      <c r="F90" s="4" t="s">
        <v>46</v>
      </c>
      <c r="G90" s="2">
        <v>-553</v>
      </c>
      <c r="H90" s="5"/>
    </row>
    <row r="91" spans="1:10" ht="15.5">
      <c r="A91" s="20">
        <v>45258</v>
      </c>
      <c r="B91" s="2">
        <v>-1412</v>
      </c>
      <c r="C91" s="18" t="s">
        <v>38</v>
      </c>
      <c r="D91" s="10">
        <f t="shared" si="2"/>
        <v>-37307</v>
      </c>
      <c r="E91" s="4"/>
      <c r="F91" s="4" t="s">
        <v>47</v>
      </c>
      <c r="G91" s="2">
        <v>-553</v>
      </c>
      <c r="H91" s="5"/>
    </row>
    <row r="92" spans="1:10" ht="15.5">
      <c r="A92" s="8">
        <v>45257</v>
      </c>
      <c r="B92" s="9">
        <v>-3000</v>
      </c>
      <c r="C92" s="3" t="s">
        <v>6</v>
      </c>
      <c r="D92" s="10">
        <f t="shared" si="2"/>
        <v>-40307</v>
      </c>
      <c r="E92" s="4"/>
      <c r="H92" s="5"/>
    </row>
    <row r="93" spans="1:10" ht="15.5">
      <c r="A93" s="8">
        <v>45257</v>
      </c>
      <c r="B93" s="9">
        <v>-265</v>
      </c>
      <c r="C93" s="3" t="s">
        <v>37</v>
      </c>
      <c r="D93" s="10">
        <f t="shared" si="2"/>
        <v>-40572</v>
      </c>
      <c r="E93" s="4"/>
      <c r="F93" s="4" t="s">
        <v>48</v>
      </c>
      <c r="G93" s="2">
        <f>SUM(G85:G91)</f>
        <v>378675.57</v>
      </c>
      <c r="H93" s="5"/>
    </row>
    <row r="94" spans="1:10" ht="15.5">
      <c r="A94" s="8">
        <v>45257</v>
      </c>
      <c r="B94" s="9">
        <v>-835.44</v>
      </c>
      <c r="C94" s="3"/>
      <c r="D94" s="10">
        <f t="shared" si="2"/>
        <v>-41407.440000000002</v>
      </c>
      <c r="E94" s="4"/>
      <c r="F94" s="4" t="s">
        <v>49</v>
      </c>
      <c r="G94" s="2">
        <f>+G93*0.25</f>
        <v>94668.892500000002</v>
      </c>
      <c r="H94" s="5"/>
    </row>
    <row r="95" spans="1:10" ht="15.5">
      <c r="A95" s="8">
        <v>45257</v>
      </c>
      <c r="B95" s="9">
        <v>-8849</v>
      </c>
      <c r="C95" s="3" t="s">
        <v>37</v>
      </c>
      <c r="D95" s="10">
        <f t="shared" si="2"/>
        <v>-50256.44</v>
      </c>
      <c r="E95" s="4"/>
      <c r="F95" s="4" t="s">
        <v>50</v>
      </c>
      <c r="G95" s="5">
        <v>-90000</v>
      </c>
      <c r="H95" s="5"/>
      <c r="J95" s="2"/>
    </row>
    <row r="96" spans="1:10" ht="15.5">
      <c r="A96" s="8">
        <v>45257</v>
      </c>
      <c r="B96" s="9"/>
      <c r="C96" s="3" t="s">
        <v>51</v>
      </c>
      <c r="D96" s="10">
        <f t="shared" si="2"/>
        <v>-50256.44</v>
      </c>
      <c r="E96" s="4"/>
      <c r="F96" s="4" t="s">
        <v>52</v>
      </c>
      <c r="G96" s="5">
        <f>SUM(G94:G95)</f>
        <v>4668.8925000000017</v>
      </c>
      <c r="H96" s="5"/>
    </row>
    <row r="97" spans="1:10" ht="15.5">
      <c r="A97" s="8">
        <v>45254</v>
      </c>
      <c r="B97" s="9">
        <v>-730</v>
      </c>
      <c r="C97" s="3" t="s">
        <v>53</v>
      </c>
      <c r="D97" s="10">
        <f t="shared" si="2"/>
        <v>-50986.44</v>
      </c>
      <c r="E97" s="4"/>
      <c r="F97" s="4"/>
      <c r="G97" s="5"/>
      <c r="H97" s="5"/>
    </row>
    <row r="98" spans="1:10" ht="15.5">
      <c r="A98" s="8">
        <v>45244</v>
      </c>
      <c r="B98" s="9">
        <v>-350</v>
      </c>
      <c r="C98" s="3" t="s">
        <v>53</v>
      </c>
      <c r="D98" s="10">
        <f t="shared" si="2"/>
        <v>-51336.44</v>
      </c>
      <c r="E98" s="4"/>
      <c r="F98" s="4"/>
      <c r="G98" s="5"/>
      <c r="H98" s="5"/>
      <c r="J98" s="11"/>
    </row>
    <row r="99" spans="1:10" ht="15.5">
      <c r="A99" s="8">
        <v>45243</v>
      </c>
      <c r="B99" s="9">
        <v>-2901</v>
      </c>
      <c r="C99" s="3" t="s">
        <v>6</v>
      </c>
      <c r="D99" s="10">
        <f t="shared" si="2"/>
        <v>-54237.440000000002</v>
      </c>
      <c r="E99" s="4"/>
      <c r="F99" s="4"/>
      <c r="G99" s="5"/>
      <c r="H99" s="5"/>
    </row>
    <row r="100" spans="1:10" ht="15.5">
      <c r="A100" s="8">
        <v>45240</v>
      </c>
      <c r="B100" s="9">
        <v>-1654</v>
      </c>
      <c r="C100" s="3" t="s">
        <v>38</v>
      </c>
      <c r="D100" s="10">
        <f t="shared" si="2"/>
        <v>-55891.44</v>
      </c>
      <c r="E100" s="4"/>
      <c r="F100" s="4"/>
      <c r="G100" s="5"/>
      <c r="H100" s="5">
        <v>284865</v>
      </c>
    </row>
    <row r="101" spans="1:10" ht="15.5">
      <c r="A101" s="8">
        <v>45239</v>
      </c>
      <c r="B101" s="9">
        <v>-2191</v>
      </c>
      <c r="C101" s="3" t="s">
        <v>37</v>
      </c>
      <c r="D101" s="10">
        <f t="shared" si="2"/>
        <v>-58082.44</v>
      </c>
      <c r="E101" s="4"/>
      <c r="F101" s="4"/>
      <c r="G101" s="5"/>
      <c r="H101" s="5">
        <v>90000</v>
      </c>
    </row>
    <row r="102" spans="1:10" ht="15.5">
      <c r="A102" s="8">
        <v>45257</v>
      </c>
      <c r="B102" s="9">
        <v>-3000</v>
      </c>
      <c r="C102" s="3" t="s">
        <v>31</v>
      </c>
      <c r="D102" s="10">
        <f t="shared" ref="D102:D118" si="3">+D101+B102</f>
        <v>-61082.44</v>
      </c>
      <c r="E102" s="4"/>
      <c r="F102" s="17">
        <f>SUM(B25:B100)</f>
        <v>-361603.44</v>
      </c>
      <c r="G102" s="5"/>
      <c r="H102" s="5">
        <v>5000</v>
      </c>
    </row>
    <row r="103" spans="1:10" ht="15.5">
      <c r="A103" s="8">
        <v>45257</v>
      </c>
      <c r="B103" s="9"/>
      <c r="C103" s="3" t="s">
        <v>54</v>
      </c>
      <c r="D103" s="10">
        <f t="shared" si="3"/>
        <v>-61082.44</v>
      </c>
      <c r="E103" s="4"/>
      <c r="F103" s="4"/>
      <c r="G103" s="5"/>
      <c r="H103" s="5">
        <f>SUM(H100:H102)</f>
        <v>379865</v>
      </c>
    </row>
    <row r="104" spans="1:10" ht="15.5">
      <c r="A104" s="8">
        <v>45257</v>
      </c>
      <c r="B104" s="9"/>
      <c r="C104" s="3" t="s">
        <v>55</v>
      </c>
      <c r="D104" s="10">
        <f t="shared" si="3"/>
        <v>-61082.44</v>
      </c>
      <c r="E104" s="4"/>
      <c r="F104" s="4"/>
      <c r="G104" s="5"/>
      <c r="H104" s="5"/>
    </row>
    <row r="105" spans="1:10" ht="15.5">
      <c r="A105" s="8">
        <v>45257</v>
      </c>
      <c r="B105" s="9">
        <v>-12000</v>
      </c>
      <c r="C105" s="3" t="s">
        <v>56</v>
      </c>
      <c r="D105" s="10">
        <f t="shared" si="3"/>
        <v>-73082.44</v>
      </c>
      <c r="E105" s="4"/>
      <c r="F105" s="4"/>
      <c r="G105" s="5"/>
      <c r="H105" s="5"/>
    </row>
    <row r="106" spans="1:10" ht="15.5">
      <c r="A106" s="8">
        <v>45260</v>
      </c>
      <c r="B106" s="9">
        <v>-2000</v>
      </c>
      <c r="C106" s="21" t="s">
        <v>31</v>
      </c>
      <c r="D106" s="10">
        <f t="shared" si="3"/>
        <v>-75082.44</v>
      </c>
      <c r="E106" s="4"/>
      <c r="F106" s="4"/>
      <c r="G106" s="5"/>
      <c r="H106" s="5"/>
    </row>
    <row r="107" spans="1:10" ht="15.5">
      <c r="A107" s="8">
        <v>45260</v>
      </c>
      <c r="B107" s="9">
        <v>-1000</v>
      </c>
      <c r="C107" s="3" t="s">
        <v>57</v>
      </c>
      <c r="D107" s="10">
        <f t="shared" si="3"/>
        <v>-76082.44</v>
      </c>
      <c r="E107" s="4"/>
      <c r="F107" s="4"/>
      <c r="G107" s="5"/>
      <c r="H107" s="5"/>
    </row>
    <row r="108" spans="1:10" ht="15.5">
      <c r="A108" s="8"/>
      <c r="B108" s="9"/>
      <c r="C108" s="3"/>
      <c r="D108" s="10">
        <f t="shared" si="3"/>
        <v>-76082.44</v>
      </c>
      <c r="E108" s="4"/>
      <c r="F108" s="4"/>
      <c r="G108" s="5"/>
      <c r="H108" s="5"/>
    </row>
    <row r="109" spans="1:10" ht="15.5">
      <c r="A109" s="8"/>
      <c r="B109" s="9"/>
      <c r="C109" s="3"/>
      <c r="D109" s="10">
        <f t="shared" si="3"/>
        <v>-76082.44</v>
      </c>
      <c r="E109" s="4"/>
      <c r="F109" s="4"/>
      <c r="G109" s="5"/>
      <c r="H109" s="5"/>
    </row>
    <row r="110" spans="1:10" ht="15.5">
      <c r="A110" s="8"/>
      <c r="B110" s="9"/>
      <c r="C110" s="3"/>
      <c r="D110" s="10">
        <f t="shared" si="3"/>
        <v>-76082.44</v>
      </c>
      <c r="E110" s="4"/>
      <c r="F110" s="4"/>
      <c r="G110" s="5"/>
      <c r="H110" s="5"/>
    </row>
    <row r="111" spans="1:10" ht="15.5">
      <c r="A111" s="8"/>
      <c r="B111" s="9">
        <f>SUM(B70:B110)</f>
        <v>-76082.44</v>
      </c>
      <c r="C111" s="3"/>
      <c r="D111" s="10">
        <f t="shared" si="3"/>
        <v>-152164.88</v>
      </c>
      <c r="E111" s="4"/>
      <c r="F111" s="4"/>
      <c r="G111" s="5"/>
      <c r="H111" s="5"/>
    </row>
    <row r="112" spans="1:10" ht="15.5">
      <c r="A112" s="8"/>
      <c r="B112" s="9"/>
      <c r="C112" s="3"/>
      <c r="D112" s="10">
        <f t="shared" si="3"/>
        <v>-152164.88</v>
      </c>
      <c r="E112" s="4"/>
      <c r="F112" s="4"/>
      <c r="G112" s="5"/>
      <c r="H112" s="5"/>
    </row>
    <row r="113" spans="1:8" ht="15.5">
      <c r="A113" s="8"/>
      <c r="B113" s="9"/>
      <c r="C113" s="3"/>
      <c r="D113" s="10">
        <f t="shared" si="3"/>
        <v>-152164.88</v>
      </c>
      <c r="E113" s="4"/>
      <c r="F113" s="4"/>
      <c r="G113" s="5"/>
      <c r="H113" s="5"/>
    </row>
    <row r="114" spans="1:8" ht="15.5">
      <c r="A114" s="8"/>
      <c r="B114" s="9"/>
      <c r="C114" s="3"/>
      <c r="D114" s="10">
        <f t="shared" si="3"/>
        <v>-152164.88</v>
      </c>
      <c r="E114" s="4"/>
      <c r="F114" s="4"/>
      <c r="G114" s="5"/>
      <c r="H114" s="5"/>
    </row>
    <row r="115" spans="1:8" ht="15.5">
      <c r="A115" s="8"/>
      <c r="B115" s="9">
        <f>SUM(B70:B114)</f>
        <v>-152164.88</v>
      </c>
      <c r="C115" s="3"/>
      <c r="D115" s="10">
        <f t="shared" si="3"/>
        <v>-304329.76</v>
      </c>
      <c r="E115" s="4"/>
      <c r="F115" s="4"/>
      <c r="G115" s="5"/>
      <c r="H115" s="5"/>
    </row>
    <row r="116" spans="1:8" ht="15.5">
      <c r="A116" s="8"/>
      <c r="B116" s="9"/>
      <c r="C116" s="3"/>
      <c r="D116" s="10">
        <f t="shared" si="3"/>
        <v>-304329.76</v>
      </c>
      <c r="E116" s="4"/>
      <c r="F116" s="4"/>
      <c r="G116" s="5"/>
      <c r="H116" s="5"/>
    </row>
    <row r="117" spans="1:8" ht="15.5">
      <c r="A117" s="8"/>
      <c r="B117" s="9"/>
      <c r="C117" s="3"/>
      <c r="D117" s="22">
        <f t="shared" si="3"/>
        <v>-304329.76</v>
      </c>
      <c r="E117" s="4"/>
      <c r="F117" s="4"/>
      <c r="G117" s="5"/>
      <c r="H117" s="5"/>
    </row>
    <row r="118" spans="1:8" ht="15.5">
      <c r="A118" s="8"/>
      <c r="B118" s="9"/>
      <c r="C118" s="3"/>
      <c r="D118" s="22">
        <f t="shared" si="3"/>
        <v>-304329.76</v>
      </c>
      <c r="E118" s="4"/>
      <c r="F118" s="4"/>
      <c r="G118" s="5"/>
      <c r="H118" s="5"/>
    </row>
    <row r="119" spans="1:8" ht="15.5">
      <c r="A119" s="8"/>
      <c r="B119" s="9"/>
      <c r="C119" s="3"/>
      <c r="D119" s="22"/>
      <c r="E119" s="4"/>
      <c r="F119" s="4"/>
      <c r="G119" s="5"/>
      <c r="H119" s="5"/>
    </row>
    <row r="120" spans="1:8" ht="15.5">
      <c r="A120" s="8"/>
      <c r="B120" s="9"/>
      <c r="C120" s="3"/>
      <c r="D120" s="22"/>
      <c r="E120" s="4"/>
      <c r="F120" s="4"/>
      <c r="G120" s="5"/>
      <c r="H120" s="5"/>
    </row>
    <row r="121" spans="1:8" ht="15.5">
      <c r="A121" s="8"/>
      <c r="B121" s="9"/>
      <c r="C121" s="3"/>
      <c r="D121" s="22"/>
      <c r="E121" s="4"/>
      <c r="F121" s="4"/>
      <c r="G121" s="5"/>
      <c r="H121" s="5"/>
    </row>
    <row r="122" spans="1:8" ht="15.5">
      <c r="A122" s="8"/>
      <c r="B122" s="9"/>
      <c r="C122" s="3"/>
      <c r="D122" s="22"/>
      <c r="E122" s="4"/>
      <c r="F122" s="4"/>
      <c r="G122" s="5"/>
      <c r="H122" s="5"/>
    </row>
    <row r="123" spans="1:8" ht="15.5">
      <c r="A123" s="8"/>
      <c r="B123" s="9"/>
      <c r="C123" s="3"/>
      <c r="D123" s="22"/>
      <c r="E123" s="4"/>
      <c r="F123" s="4"/>
      <c r="G123" s="5"/>
      <c r="H123" s="5"/>
    </row>
    <row r="124" spans="1:8" ht="15.5">
      <c r="A124" s="8"/>
      <c r="B124" s="9"/>
      <c r="C124" s="3"/>
      <c r="D124" s="22"/>
      <c r="E124" s="4"/>
      <c r="F124" s="4"/>
      <c r="G124" s="5"/>
      <c r="H124" s="5"/>
    </row>
    <row r="125" spans="1:8" ht="15.5">
      <c r="A125" s="8"/>
      <c r="B125" s="9"/>
      <c r="C125" s="3"/>
      <c r="D125" s="22"/>
      <c r="E125" s="4"/>
      <c r="F125" s="4"/>
      <c r="G125" s="5"/>
      <c r="H125" s="5"/>
    </row>
    <row r="126" spans="1:8" ht="15.5">
      <c r="A126" s="8"/>
      <c r="B126" s="9"/>
      <c r="C126" s="3"/>
      <c r="D126" s="22"/>
      <c r="E126" s="4"/>
      <c r="F126" s="4"/>
      <c r="G126" s="5"/>
      <c r="H126" s="5"/>
    </row>
    <row r="127" spans="1:8" ht="15.5">
      <c r="A127" s="8"/>
      <c r="B127" s="9"/>
      <c r="C127" s="3"/>
      <c r="D127" s="22"/>
      <c r="E127" s="4"/>
      <c r="F127" s="4"/>
      <c r="G127" s="5"/>
      <c r="H127" s="5"/>
    </row>
    <row r="128" spans="1:8" ht="15.5">
      <c r="A128" s="8"/>
      <c r="B128" s="9"/>
      <c r="C128" s="3"/>
      <c r="D128" s="22"/>
      <c r="E128" s="4"/>
      <c r="F128" s="4"/>
      <c r="G128" s="5"/>
      <c r="H128" s="5"/>
    </row>
    <row r="129" spans="1:8" ht="15.5">
      <c r="A129" s="8"/>
      <c r="B129" s="9"/>
      <c r="C129" s="3"/>
      <c r="D129" s="22"/>
      <c r="E129" s="4"/>
      <c r="F129" s="4"/>
      <c r="G129" s="5"/>
      <c r="H129" s="5"/>
    </row>
    <row r="130" spans="1:8" ht="15.5">
      <c r="A130" s="8"/>
      <c r="B130" s="9"/>
      <c r="C130" s="3"/>
      <c r="D130" s="22"/>
      <c r="E130" s="4"/>
      <c r="F130" s="4"/>
      <c r="G130" s="5"/>
      <c r="H130" s="5"/>
    </row>
    <row r="131" spans="1:8" ht="15.5">
      <c r="A131" s="8"/>
      <c r="B131" s="9"/>
      <c r="C131" s="3"/>
      <c r="D131" s="22"/>
      <c r="E131" s="4"/>
      <c r="F131" s="4"/>
      <c r="G131" s="5"/>
      <c r="H131" s="5"/>
    </row>
    <row r="132" spans="1:8" ht="15.5">
      <c r="A132" s="8"/>
      <c r="B132" s="9"/>
      <c r="C132" s="3"/>
      <c r="D132" s="22"/>
      <c r="E132" s="4"/>
      <c r="F132" s="4"/>
      <c r="G132" s="5"/>
      <c r="H132" s="5"/>
    </row>
    <row r="133" spans="1:8" ht="15.5">
      <c r="A133" s="13"/>
      <c r="B133" s="12"/>
      <c r="C133" s="14"/>
      <c r="D133" s="22"/>
      <c r="E133" s="4"/>
      <c r="F133" s="4"/>
      <c r="G133" s="5"/>
      <c r="H133" s="5"/>
    </row>
    <row r="134" spans="1:8" ht="15.5">
      <c r="A134" s="13"/>
      <c r="B134" s="12"/>
      <c r="C134" s="14"/>
      <c r="D134" s="22"/>
      <c r="E134" s="4"/>
      <c r="F134" s="4"/>
      <c r="G134" s="5"/>
      <c r="H134" s="5"/>
    </row>
    <row r="135" spans="1:8" ht="15.5">
      <c r="A135" s="8"/>
      <c r="B135" s="9"/>
      <c r="C135" s="3"/>
      <c r="D135" s="22"/>
      <c r="E135" s="4"/>
      <c r="F135" s="4"/>
      <c r="G135" s="5"/>
      <c r="H135" s="5"/>
    </row>
    <row r="136" spans="1:8" ht="15.5">
      <c r="A136" s="13"/>
      <c r="C136" s="16"/>
      <c r="D136" s="22"/>
      <c r="E136" s="4"/>
      <c r="F136" s="4"/>
      <c r="G136" s="5"/>
      <c r="H136" s="5"/>
    </row>
    <row r="137" spans="1:8" ht="15.5">
      <c r="A137" s="13"/>
      <c r="B137" s="12"/>
      <c r="C137" s="14"/>
      <c r="D137" s="22"/>
      <c r="E137" s="4"/>
      <c r="F137" s="4"/>
      <c r="G137" s="5"/>
      <c r="H137" s="5"/>
    </row>
    <row r="138" spans="1:8" ht="15.5">
      <c r="A138" s="13"/>
      <c r="B138" s="12"/>
      <c r="C138" s="14"/>
      <c r="D138" s="22"/>
      <c r="E138" s="4"/>
      <c r="F138" s="4"/>
      <c r="G138" s="5"/>
      <c r="H138" s="5"/>
    </row>
    <row r="139" spans="1:8" ht="15.5">
      <c r="A139" s="13"/>
      <c r="B139" s="12"/>
      <c r="C139" s="14"/>
      <c r="D139" s="22"/>
      <c r="E139" s="4"/>
      <c r="F139" s="4"/>
      <c r="G139" s="5"/>
      <c r="H139" s="5"/>
    </row>
    <row r="140" spans="1:8" ht="15.5">
      <c r="A140" s="8"/>
      <c r="B140" s="12"/>
      <c r="C140" s="14"/>
      <c r="D140" s="22"/>
      <c r="E140" s="4"/>
      <c r="F140" s="4"/>
      <c r="G140" s="5"/>
      <c r="H140" s="5"/>
    </row>
    <row r="141" spans="1:8" ht="15.5">
      <c r="A141" s="8"/>
      <c r="B141" s="9"/>
      <c r="C141" s="3"/>
      <c r="D141" s="22"/>
      <c r="E141" s="4"/>
      <c r="F141" s="4"/>
      <c r="G141" s="5"/>
      <c r="H141" s="5"/>
    </row>
    <row r="142" spans="1:8" ht="15.5">
      <c r="A142" s="8"/>
      <c r="B142" s="9"/>
      <c r="C142" s="3"/>
      <c r="D142" s="22"/>
      <c r="E142" s="4"/>
      <c r="F142" s="4"/>
      <c r="G142" s="5"/>
      <c r="H142" s="5"/>
    </row>
    <row r="143" spans="1:8" ht="15.5">
      <c r="A143" s="8"/>
      <c r="B143" s="9"/>
      <c r="C143" s="3"/>
      <c r="D143" s="22"/>
      <c r="E143" s="4"/>
      <c r="F143" s="4"/>
      <c r="G143" s="5"/>
      <c r="H143" s="5"/>
    </row>
    <row r="144" spans="1:8" ht="15.5">
      <c r="A144" s="8"/>
      <c r="B144" s="9"/>
      <c r="C144" s="3"/>
      <c r="D144" s="22"/>
      <c r="E144" s="4"/>
      <c r="F144" s="4"/>
      <c r="G144" s="5"/>
      <c r="H144" s="5"/>
    </row>
    <row r="145" spans="1:8" ht="15.5">
      <c r="A145" s="8"/>
      <c r="B145" s="9"/>
      <c r="C145" s="3"/>
      <c r="D145" s="22"/>
      <c r="E145" s="4"/>
      <c r="F145" s="4"/>
      <c r="G145" s="5"/>
      <c r="H145" s="5"/>
    </row>
    <row r="146" spans="1:8" ht="15.5">
      <c r="A146" s="8"/>
      <c r="B146" s="9"/>
      <c r="C146" s="3"/>
      <c r="D146" s="22"/>
      <c r="E146" s="4"/>
      <c r="F146" s="4"/>
      <c r="G146" s="5"/>
      <c r="H146" s="5"/>
    </row>
    <row r="147" spans="1:8" ht="15.5">
      <c r="A147" s="8"/>
      <c r="C147" s="18"/>
      <c r="D147" s="22"/>
      <c r="E147" s="4"/>
      <c r="F147" s="4"/>
      <c r="G147" s="5"/>
      <c r="H147" s="5"/>
    </row>
    <row r="148" spans="1:8" ht="15.5">
      <c r="A148" s="8"/>
      <c r="B148" s="9"/>
      <c r="C148" s="3"/>
      <c r="D148" s="22"/>
      <c r="E148" s="4"/>
      <c r="F148" s="4"/>
      <c r="G148" s="5"/>
      <c r="H148" s="5"/>
    </row>
    <row r="149" spans="1:8" ht="15.5">
      <c r="A149" s="8"/>
      <c r="B149" s="9"/>
      <c r="C149" s="3"/>
      <c r="D149" s="22"/>
      <c r="E149" s="4"/>
      <c r="F149" s="4"/>
      <c r="G149" s="5"/>
      <c r="H149" s="5"/>
    </row>
    <row r="150" spans="1:8" ht="15.5">
      <c r="A150" s="8"/>
      <c r="B150" s="9"/>
      <c r="C150" s="3"/>
      <c r="D150" s="22"/>
      <c r="E150" s="4"/>
      <c r="F150" s="4"/>
      <c r="G150" s="5"/>
      <c r="H150" s="5"/>
    </row>
    <row r="151" spans="1:8" ht="15.5">
      <c r="A151" s="8"/>
      <c r="B151" s="9"/>
      <c r="C151" s="3"/>
      <c r="D151" s="22"/>
      <c r="E151" s="4"/>
      <c r="F151" s="4"/>
      <c r="G151" s="5"/>
      <c r="H151" s="5"/>
    </row>
    <row r="152" spans="1:8" ht="15.5">
      <c r="A152" s="8"/>
      <c r="B152" s="9"/>
      <c r="C152" s="3"/>
      <c r="D152" s="22"/>
      <c r="E152" s="4"/>
      <c r="F152" s="4"/>
      <c r="G152" s="5"/>
      <c r="H152" s="5"/>
    </row>
    <row r="153" spans="1:8" ht="15.5">
      <c r="A153" s="8"/>
      <c r="B153" s="9"/>
      <c r="C153" s="3"/>
      <c r="D153" s="22"/>
      <c r="E153" s="4"/>
      <c r="F153" s="4"/>
      <c r="G153" s="5"/>
      <c r="H153" s="5"/>
    </row>
    <row r="154" spans="1:8" ht="15.5">
      <c r="A154" s="8"/>
      <c r="B154" s="9"/>
      <c r="C154" s="3"/>
      <c r="D154" s="22"/>
      <c r="E154" s="4"/>
      <c r="F154" s="4"/>
      <c r="G154" s="5"/>
      <c r="H154" s="5"/>
    </row>
    <row r="155" spans="1:8" ht="15.5">
      <c r="A155" s="8"/>
      <c r="B155" s="9"/>
      <c r="C155" s="3"/>
      <c r="D155" s="22"/>
      <c r="E155" s="4"/>
      <c r="F155" s="4"/>
      <c r="G155" s="5"/>
      <c r="H155" s="5"/>
    </row>
    <row r="156" spans="1:8" ht="15.5">
      <c r="A156" s="8"/>
      <c r="B156" s="9"/>
      <c r="C156" s="3"/>
      <c r="D156" s="22"/>
      <c r="E156" s="4"/>
      <c r="F156" s="4"/>
      <c r="G156" s="5"/>
      <c r="H156" s="5"/>
    </row>
    <row r="157" spans="1:8" ht="15.5">
      <c r="A157" s="8"/>
      <c r="B157" s="9"/>
      <c r="C157" s="3"/>
      <c r="D157" s="22"/>
      <c r="E157" s="4"/>
      <c r="F157" s="4"/>
      <c r="G157" s="5"/>
      <c r="H157" s="5"/>
    </row>
    <row r="158" spans="1:8" ht="15.5">
      <c r="A158" s="8"/>
      <c r="B158" s="9"/>
      <c r="C158" s="3"/>
      <c r="D158" s="22"/>
      <c r="E158" s="4"/>
      <c r="F158" s="4"/>
      <c r="G158" s="5"/>
      <c r="H158" s="5"/>
    </row>
    <row r="159" spans="1:8" ht="15.5">
      <c r="A159" s="8"/>
      <c r="B159" s="9"/>
      <c r="C159" s="3"/>
      <c r="D159" s="22"/>
      <c r="E159" s="4"/>
      <c r="F159" s="4"/>
      <c r="G159" s="5"/>
      <c r="H159" s="5"/>
    </row>
    <row r="160" spans="1:8" ht="15.5">
      <c r="A160" s="8"/>
      <c r="B160" s="9"/>
      <c r="C160" s="3"/>
      <c r="D160" s="22"/>
      <c r="E160" s="4"/>
      <c r="F160" s="4"/>
      <c r="G160" s="5"/>
      <c r="H160" s="5"/>
    </row>
    <row r="161" spans="1:8" ht="15.5">
      <c r="A161" s="8"/>
      <c r="B161" s="9"/>
      <c r="C161" s="3"/>
      <c r="D161" s="22"/>
      <c r="E161" s="17"/>
      <c r="F161" s="4"/>
      <c r="G161" s="5"/>
      <c r="H161" s="5"/>
    </row>
    <row r="162" spans="1:8" ht="15.5">
      <c r="A162" s="13"/>
      <c r="B162" s="12"/>
      <c r="C162" s="3"/>
      <c r="D162" s="22"/>
    </row>
    <row r="163" spans="1:8" ht="15.5">
      <c r="A163" s="8"/>
      <c r="B163" s="9"/>
      <c r="C163" s="3"/>
      <c r="D163" s="22"/>
      <c r="G163" s="2">
        <v>250</v>
      </c>
      <c r="H163" s="11">
        <f>+F163*G163</f>
        <v>0</v>
      </c>
    </row>
    <row r="164" spans="1:8" ht="15.5">
      <c r="A164" s="8"/>
      <c r="B164" s="9"/>
      <c r="C164" s="3"/>
      <c r="D164" s="22"/>
      <c r="G164" s="2">
        <v>250</v>
      </c>
      <c r="H164" s="11">
        <f>+F164*G164</f>
        <v>0</v>
      </c>
    </row>
    <row r="165" spans="1:8" ht="15.5">
      <c r="A165" s="8"/>
      <c r="B165" s="9"/>
      <c r="C165" s="3"/>
      <c r="D165" s="22"/>
    </row>
    <row r="166" spans="1:8" ht="15.5">
      <c r="A166" s="8"/>
      <c r="B166" s="9"/>
      <c r="C166" s="3"/>
      <c r="D166" s="22"/>
    </row>
    <row r="167" spans="1:8" ht="15.5">
      <c r="A167" s="8"/>
      <c r="B167" s="9"/>
      <c r="C167" s="3"/>
      <c r="D167" s="22"/>
    </row>
    <row r="168" spans="1:8" ht="15.5">
      <c r="A168" s="23"/>
      <c r="B168" s="5"/>
      <c r="C168" s="18"/>
      <c r="D168" s="22"/>
    </row>
    <row r="169" spans="1:8" ht="15.5">
      <c r="A169" s="8"/>
      <c r="B169" s="9"/>
      <c r="C169" s="3"/>
      <c r="D169" s="22"/>
      <c r="H169">
        <v>15000</v>
      </c>
    </row>
    <row r="170" spans="1:8" ht="15.5">
      <c r="A170" s="8"/>
      <c r="B170" s="9"/>
      <c r="C170" s="3"/>
      <c r="D170" s="22"/>
    </row>
    <row r="171" spans="1:8" ht="15.5">
      <c r="A171" s="23"/>
      <c r="B171" s="5"/>
      <c r="C171" s="18"/>
      <c r="D171" s="22"/>
    </row>
    <row r="172" spans="1:8" ht="15.5">
      <c r="A172" s="13"/>
      <c r="B172" s="12"/>
      <c r="C172" s="3"/>
      <c r="D172" s="22"/>
    </row>
    <row r="173" spans="1:8" ht="15.5">
      <c r="A173" s="8"/>
      <c r="B173" s="9"/>
      <c r="C173" s="3"/>
      <c r="D173" s="22"/>
    </row>
    <row r="174" spans="1:8" ht="15.5">
      <c r="A174" s="8"/>
      <c r="B174" s="9"/>
      <c r="C174" s="3"/>
      <c r="D174" s="22"/>
    </row>
    <row r="175" spans="1:8" ht="15.5">
      <c r="A175" s="8"/>
      <c r="B175" s="9"/>
      <c r="C175" s="3"/>
      <c r="D175" s="22"/>
    </row>
    <row r="176" spans="1:8" ht="15.5">
      <c r="A176" s="8"/>
      <c r="B176" s="9"/>
      <c r="C176" s="3"/>
      <c r="D176" s="22"/>
    </row>
    <row r="177" spans="1:8" ht="15.5">
      <c r="A177" s="8"/>
      <c r="B177" s="9"/>
      <c r="C177" s="3"/>
      <c r="D177" s="22"/>
    </row>
    <row r="178" spans="1:8" ht="15.5">
      <c r="A178" s="8"/>
      <c r="B178" s="9"/>
      <c r="C178" s="3"/>
      <c r="D178" s="22"/>
      <c r="F178">
        <v>325000</v>
      </c>
      <c r="G178" s="24">
        <v>3.4200000000000001E-2</v>
      </c>
      <c r="H178" s="11">
        <f>+F178*G178</f>
        <v>11115</v>
      </c>
    </row>
    <row r="179" spans="1:8" ht="15.5">
      <c r="A179" s="8"/>
      <c r="B179" s="9"/>
      <c r="C179" s="3"/>
      <c r="D179" s="22"/>
      <c r="F179">
        <v>1325000</v>
      </c>
      <c r="G179" s="25">
        <v>3.4200000000000001E-2</v>
      </c>
      <c r="H179" s="11">
        <f>+F179*G179</f>
        <v>45315</v>
      </c>
    </row>
    <row r="180" spans="1:8" ht="15.5">
      <c r="A180" s="8"/>
      <c r="B180" s="9"/>
      <c r="C180" s="3"/>
      <c r="D180" s="22"/>
    </row>
    <row r="181" spans="1:8" ht="15.5">
      <c r="A181" s="8"/>
      <c r="B181" s="9"/>
      <c r="C181" s="3"/>
      <c r="D181" s="22"/>
    </row>
    <row r="182" spans="1:8" ht="15.5">
      <c r="A182" s="8"/>
      <c r="B182" s="9"/>
      <c r="C182" s="3"/>
      <c r="D182" s="10"/>
      <c r="F182">
        <f>250*5300</f>
        <v>1325000</v>
      </c>
      <c r="H182">
        <f>SUM(H169:H181)</f>
        <v>71430</v>
      </c>
    </row>
    <row r="183" spans="1:8" ht="15.5">
      <c r="A183" s="8"/>
      <c r="B183" s="9"/>
      <c r="C183" s="3"/>
    </row>
    <row r="184" spans="1:8" ht="15.5">
      <c r="A184" s="8"/>
      <c r="B184" s="9"/>
      <c r="C184" s="3"/>
    </row>
    <row r="185" spans="1:8" ht="15.5">
      <c r="A185" s="8"/>
      <c r="B185" s="9"/>
      <c r="C185" s="3"/>
    </row>
    <row r="186" spans="1:8" ht="15.5">
      <c r="A186" s="8"/>
      <c r="B186" s="9"/>
      <c r="C186" s="3"/>
    </row>
    <row r="187" spans="1:8" ht="15.5">
      <c r="A187" s="8"/>
      <c r="B187" s="9"/>
      <c r="C187" s="3"/>
    </row>
    <row r="188" spans="1:8" ht="15.5">
      <c r="A188" s="8"/>
      <c r="B188" s="9"/>
      <c r="C188" s="3"/>
    </row>
    <row r="189" spans="1:8" ht="15.5">
      <c r="A189" s="8"/>
      <c r="B189" s="9"/>
      <c r="C189" s="3"/>
    </row>
    <row r="190" spans="1:8" ht="15.5">
      <c r="A190" s="8"/>
      <c r="B190" s="9"/>
      <c r="C190" s="3"/>
    </row>
    <row r="191" spans="1:8" ht="15.5">
      <c r="A191" s="8"/>
      <c r="B191" s="9"/>
      <c r="C191" s="3"/>
    </row>
    <row r="192" spans="1:8" ht="15.5">
      <c r="A192" s="8"/>
      <c r="B192" s="9"/>
      <c r="C192" s="3"/>
    </row>
    <row r="193" spans="1:3" ht="15.5">
      <c r="A193" s="8"/>
      <c r="B193" s="9"/>
      <c r="C193" s="3"/>
    </row>
    <row r="194" spans="1:3" ht="15.5">
      <c r="A194" s="8"/>
      <c r="B194" s="9"/>
      <c r="C194" s="3"/>
    </row>
    <row r="195" spans="1:3" ht="15.5">
      <c r="A195" s="8"/>
      <c r="B195" s="12"/>
      <c r="C195" s="14"/>
    </row>
    <row r="196" spans="1:3">
      <c r="A196" s="13"/>
      <c r="C196" s="16"/>
    </row>
    <row r="197" spans="1:3">
      <c r="A197" s="13"/>
      <c r="B197" s="12"/>
      <c r="C197" s="14"/>
    </row>
    <row r="198" spans="1:3">
      <c r="A198" s="13"/>
      <c r="B198" s="12"/>
      <c r="C198" s="14"/>
    </row>
    <row r="199" spans="1:3">
      <c r="A199" s="13"/>
      <c r="B199" s="12"/>
      <c r="C199" s="14"/>
    </row>
    <row r="200" spans="1:3">
      <c r="A200" s="13"/>
      <c r="B200" s="12"/>
      <c r="C200" s="14"/>
    </row>
    <row r="201" spans="1:3">
      <c r="A201" s="13"/>
      <c r="B201" s="12"/>
      <c r="C201" s="14"/>
    </row>
    <row r="202" spans="1:3" ht="15.5">
      <c r="A202" s="8"/>
      <c r="B202" s="9"/>
      <c r="C202" s="3"/>
    </row>
    <row r="203" spans="1:3" ht="15.5">
      <c r="A203" s="8"/>
      <c r="B203" s="9"/>
      <c r="C203" s="3"/>
    </row>
    <row r="204" spans="1:3" ht="15.5">
      <c r="A204" s="8"/>
      <c r="B204" s="9"/>
      <c r="C204" s="3"/>
    </row>
    <row r="205" spans="1:3" ht="15.5">
      <c r="A205" s="8"/>
      <c r="B205" s="9"/>
      <c r="C205" s="3"/>
    </row>
  </sheetData>
  <mergeCells count="2">
    <mergeCell ref="A1:C1"/>
    <mergeCell ref="G2:H2"/>
  </mergeCells>
  <pageMargins left="0.7" right="0.7" top="0.75" bottom="0.75" header="0.511811023622047" footer="0.511811023622047"/>
  <pageSetup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9"/>
  <sheetViews>
    <sheetView workbookViewId="0">
      <selection activeCell="D7" sqref="D7"/>
    </sheetView>
  </sheetViews>
  <sheetFormatPr baseColWidth="10" defaultRowHeight="14.5"/>
  <cols>
    <col min="1" max="1" width="13.453125" customWidth="1"/>
    <col min="2" max="2" width="13.81640625" customWidth="1"/>
    <col min="4" max="4" width="13.26953125" customWidth="1"/>
    <col min="10" max="11" width="12.54296875" customWidth="1"/>
    <col min="12" max="12" width="13.08984375" customWidth="1"/>
    <col min="13" max="13" width="11.81640625" customWidth="1"/>
    <col min="14" max="14" width="11.81640625" bestFit="1" customWidth="1"/>
    <col min="15" max="15" width="11.26953125" style="148" bestFit="1" customWidth="1"/>
  </cols>
  <sheetData>
    <row r="1" spans="1:16">
      <c r="A1" s="203" t="s">
        <v>1022</v>
      </c>
      <c r="B1" s="203"/>
      <c r="C1" s="203"/>
      <c r="D1" s="203"/>
      <c r="E1" s="203"/>
      <c r="F1" s="203"/>
      <c r="G1" s="153"/>
      <c r="H1" s="153"/>
      <c r="I1" s="153"/>
    </row>
    <row r="2" spans="1:16">
      <c r="A2" s="200" t="s">
        <v>1023</v>
      </c>
      <c r="B2" s="201"/>
      <c r="C2" s="201"/>
      <c r="D2" s="201"/>
      <c r="E2" s="201"/>
      <c r="F2" s="202"/>
      <c r="G2" s="181"/>
      <c r="H2" s="181"/>
      <c r="I2" s="181"/>
      <c r="J2" s="155">
        <f>PMT(+E5/12, +C4, -A4)</f>
        <v>90743.915295312036</v>
      </c>
      <c r="K2" s="155"/>
    </row>
    <row r="3" spans="1:16">
      <c r="A3" s="43" t="s">
        <v>874</v>
      </c>
      <c r="C3" s="43" t="s">
        <v>875</v>
      </c>
      <c r="D3" s="43"/>
      <c r="E3" s="43"/>
      <c r="F3" s="43"/>
      <c r="G3" s="153"/>
      <c r="H3" s="153"/>
      <c r="I3" s="153"/>
    </row>
    <row r="4" spans="1:16">
      <c r="A4" s="148">
        <f>+L8</f>
        <v>5844400</v>
      </c>
      <c r="C4" s="43">
        <v>120</v>
      </c>
      <c r="D4" s="43"/>
      <c r="E4" s="43"/>
      <c r="F4" s="43"/>
      <c r="G4" s="153"/>
      <c r="H4" s="153"/>
      <c r="I4" s="153"/>
      <c r="M4" s="148">
        <f>1881+613</f>
        <v>2494</v>
      </c>
    </row>
    <row r="5" spans="1:16">
      <c r="A5" s="43"/>
      <c r="B5" s="43"/>
      <c r="C5" s="43"/>
      <c r="D5" s="43"/>
      <c r="E5" s="154">
        <v>0.14000000000000001</v>
      </c>
      <c r="F5" s="43"/>
      <c r="G5" s="153"/>
      <c r="H5" s="153"/>
      <c r="I5" s="153"/>
      <c r="L5" s="148">
        <f>2494*2600</f>
        <v>6484400</v>
      </c>
    </row>
    <row r="6" spans="1:16">
      <c r="A6" s="151" t="s">
        <v>876</v>
      </c>
      <c r="B6" s="151" t="s">
        <v>877</v>
      </c>
      <c r="C6" s="151" t="s">
        <v>878</v>
      </c>
      <c r="D6" s="151" t="s">
        <v>879</v>
      </c>
      <c r="E6" s="151" t="s">
        <v>880</v>
      </c>
      <c r="F6" s="151" t="s">
        <v>875</v>
      </c>
      <c r="G6" s="151" t="s">
        <v>969</v>
      </c>
      <c r="H6" s="151" t="s">
        <v>970</v>
      </c>
      <c r="I6" s="151" t="s">
        <v>949</v>
      </c>
      <c r="L6" s="148">
        <v>640000</v>
      </c>
    </row>
    <row r="7" spans="1:16">
      <c r="A7" s="148">
        <f>+J2</f>
        <v>90743.915295312036</v>
      </c>
      <c r="B7" s="148">
        <f>+A4*E5/12</f>
        <v>68184.666666666672</v>
      </c>
      <c r="C7" s="148">
        <f>+A7-B7</f>
        <v>22559.248628645364</v>
      </c>
      <c r="D7" s="148">
        <f>+A4-C7</f>
        <v>5821840.7513713548</v>
      </c>
      <c r="E7" s="43">
        <f>+E5</f>
        <v>0.14000000000000001</v>
      </c>
      <c r="F7" s="43">
        <f>+C4</f>
        <v>120</v>
      </c>
      <c r="G7" s="158">
        <v>46001</v>
      </c>
      <c r="H7" s="43"/>
      <c r="I7" s="13"/>
      <c r="L7" s="148"/>
      <c r="N7">
        <f>+L6/L5</f>
        <v>9.869841465671457E-2</v>
      </c>
    </row>
    <row r="8" spans="1:16">
      <c r="A8" s="148">
        <f>+A7</f>
        <v>90743.915295312036</v>
      </c>
      <c r="B8" s="148">
        <f t="shared" ref="B8:B73" si="0">+D7*E7/12</f>
        <v>67921.475432665815</v>
      </c>
      <c r="C8" s="148">
        <f t="shared" ref="C8:C71" si="1">+A8-B8</f>
        <v>22822.439862646221</v>
      </c>
      <c r="D8" s="148">
        <f>+D7-C8</f>
        <v>5799018.3115087086</v>
      </c>
      <c r="E8" s="43">
        <f t="shared" ref="E8:E71" si="2">+E7</f>
        <v>0.14000000000000001</v>
      </c>
      <c r="F8" s="43">
        <f t="shared" ref="F8:F71" si="3">+F7-1</f>
        <v>119</v>
      </c>
      <c r="G8" s="158"/>
      <c r="H8" s="43"/>
      <c r="I8" s="14"/>
      <c r="L8" s="148">
        <f>+L5-L6</f>
        <v>5844400</v>
      </c>
    </row>
    <row r="9" spans="1:16">
      <c r="A9" s="148">
        <f>+A8</f>
        <v>90743.915295312036</v>
      </c>
      <c r="B9" s="148">
        <f t="shared" si="0"/>
        <v>67655.213634268279</v>
      </c>
      <c r="C9" s="148">
        <f t="shared" si="1"/>
        <v>23088.701661043757</v>
      </c>
      <c r="D9" s="148">
        <f t="shared" ref="D9:D72" si="4">+D8-C9</f>
        <v>5775929.6098476648</v>
      </c>
      <c r="E9" s="43">
        <f t="shared" si="2"/>
        <v>0.14000000000000001</v>
      </c>
      <c r="F9" s="43">
        <f t="shared" si="3"/>
        <v>118</v>
      </c>
      <c r="G9" s="43"/>
      <c r="H9" s="43"/>
      <c r="I9" s="14"/>
      <c r="N9">
        <v>0.04</v>
      </c>
      <c r="O9" s="148">
        <v>0.05</v>
      </c>
    </row>
    <row r="10" spans="1:16">
      <c r="A10" s="148">
        <f t="shared" ref="A10:A73" si="5">+A9</f>
        <v>90743.915295312036</v>
      </c>
      <c r="B10" s="148">
        <f t="shared" si="0"/>
        <v>67385.845448222753</v>
      </c>
      <c r="C10" s="148">
        <f t="shared" si="1"/>
        <v>23358.069847089282</v>
      </c>
      <c r="D10" s="148">
        <f t="shared" si="4"/>
        <v>5752571.5400005756</v>
      </c>
      <c r="E10" s="43">
        <f t="shared" si="2"/>
        <v>0.14000000000000001</v>
      </c>
      <c r="F10" s="43">
        <f t="shared" si="3"/>
        <v>117</v>
      </c>
      <c r="G10" s="43"/>
      <c r="H10" s="43"/>
      <c r="I10" s="14"/>
      <c r="L10">
        <f>+L5*0.04</f>
        <v>259376</v>
      </c>
      <c r="N10" s="148">
        <v>4890600</v>
      </c>
      <c r="O10" s="148">
        <f>+N10</f>
        <v>4890600</v>
      </c>
    </row>
    <row r="11" spans="1:16">
      <c r="A11" s="148">
        <f t="shared" si="5"/>
        <v>90743.915295312036</v>
      </c>
      <c r="B11" s="148">
        <f t="shared" si="0"/>
        <v>67113.334633340055</v>
      </c>
      <c r="C11" s="148">
        <f t="shared" si="1"/>
        <v>23630.580661971981</v>
      </c>
      <c r="D11" s="148">
        <f t="shared" si="4"/>
        <v>5728940.9593386035</v>
      </c>
      <c r="E11" s="43">
        <f t="shared" si="2"/>
        <v>0.14000000000000001</v>
      </c>
      <c r="F11" s="43">
        <f t="shared" si="3"/>
        <v>116</v>
      </c>
      <c r="G11" s="43"/>
      <c r="H11" s="43"/>
      <c r="I11" s="14"/>
    </row>
    <row r="12" spans="1:16">
      <c r="A12" s="148">
        <f t="shared" si="5"/>
        <v>90743.915295312036</v>
      </c>
      <c r="B12" s="148">
        <f t="shared" si="0"/>
        <v>66837.644525617055</v>
      </c>
      <c r="C12" s="148">
        <f t="shared" si="1"/>
        <v>23906.27076969498</v>
      </c>
      <c r="D12" s="148">
        <f t="shared" si="4"/>
        <v>5705034.6885689087</v>
      </c>
      <c r="E12" s="43">
        <f t="shared" si="2"/>
        <v>0.14000000000000001</v>
      </c>
      <c r="F12" s="43">
        <f t="shared" si="3"/>
        <v>115</v>
      </c>
      <c r="G12" s="43"/>
      <c r="H12" s="43"/>
      <c r="I12" s="14"/>
      <c r="N12" s="148">
        <f>+N10*N9</f>
        <v>195624</v>
      </c>
      <c r="O12" s="148">
        <f>+O10*O9</f>
        <v>244530</v>
      </c>
      <c r="P12" s="156">
        <f>+O12-N12</f>
        <v>48906</v>
      </c>
    </row>
    <row r="13" spans="1:16">
      <c r="A13" s="148">
        <f t="shared" si="5"/>
        <v>90743.915295312036</v>
      </c>
      <c r="B13" s="148">
        <f t="shared" si="0"/>
        <v>66558.738033303947</v>
      </c>
      <c r="C13" s="148">
        <f t="shared" si="1"/>
        <v>24185.177262008088</v>
      </c>
      <c r="D13" s="148">
        <f t="shared" si="4"/>
        <v>5680849.5113069005</v>
      </c>
      <c r="E13" s="43">
        <f t="shared" si="2"/>
        <v>0.14000000000000001</v>
      </c>
      <c r="F13" s="43">
        <f t="shared" si="3"/>
        <v>114</v>
      </c>
      <c r="G13" s="43"/>
      <c r="H13" s="43"/>
      <c r="I13" s="14"/>
      <c r="J13" s="148">
        <f>+A4*0.9</f>
        <v>5259960</v>
      </c>
      <c r="K13" s="182"/>
      <c r="N13">
        <f>+N12/2</f>
        <v>97812</v>
      </c>
    </row>
    <row r="14" spans="1:16">
      <c r="A14" s="148">
        <f t="shared" si="5"/>
        <v>90743.915295312036</v>
      </c>
      <c r="B14" s="148">
        <f t="shared" si="0"/>
        <v>66276.577631913839</v>
      </c>
      <c r="C14" s="148">
        <f t="shared" si="1"/>
        <v>24467.337663398197</v>
      </c>
      <c r="D14" s="148">
        <f t="shared" si="4"/>
        <v>5656382.1736435024</v>
      </c>
      <c r="E14" s="43">
        <f t="shared" si="2"/>
        <v>0.14000000000000001</v>
      </c>
      <c r="F14" s="43">
        <f t="shared" si="3"/>
        <v>113</v>
      </c>
      <c r="G14" s="43"/>
      <c r="H14" s="43"/>
      <c r="I14" s="14"/>
      <c r="J14" s="148">
        <f>+A4-A4*0.1</f>
        <v>5259960</v>
      </c>
      <c r="K14" s="182"/>
      <c r="N14" s="148"/>
    </row>
    <row r="15" spans="1:16">
      <c r="A15" s="148">
        <f t="shared" si="5"/>
        <v>90743.915295312036</v>
      </c>
      <c r="B15" s="148">
        <f t="shared" si="0"/>
        <v>65991.125359174199</v>
      </c>
      <c r="C15" s="148">
        <f t="shared" si="1"/>
        <v>24752.789936137837</v>
      </c>
      <c r="D15" s="148">
        <f t="shared" si="4"/>
        <v>5631629.383707365</v>
      </c>
      <c r="E15" s="43">
        <f t="shared" si="2"/>
        <v>0.14000000000000001</v>
      </c>
      <c r="F15" s="43">
        <f t="shared" si="3"/>
        <v>112</v>
      </c>
      <c r="G15" s="43"/>
      <c r="H15" s="43"/>
      <c r="I15" s="14"/>
    </row>
    <row r="16" spans="1:16">
      <c r="A16" s="148">
        <f t="shared" si="5"/>
        <v>90743.915295312036</v>
      </c>
      <c r="B16" s="148">
        <f t="shared" si="0"/>
        <v>65702.342809919268</v>
      </c>
      <c r="C16" s="148">
        <f t="shared" si="1"/>
        <v>25041.572485392768</v>
      </c>
      <c r="D16" s="148">
        <f t="shared" si="4"/>
        <v>5606587.8112219721</v>
      </c>
      <c r="E16" s="43">
        <f t="shared" si="2"/>
        <v>0.14000000000000001</v>
      </c>
      <c r="F16" s="43">
        <f t="shared" si="3"/>
        <v>111</v>
      </c>
      <c r="G16" s="43"/>
      <c r="H16" s="43"/>
      <c r="I16" s="14"/>
    </row>
    <row r="17" spans="1:12">
      <c r="A17" s="148">
        <f t="shared" si="5"/>
        <v>90743.915295312036</v>
      </c>
      <c r="B17" s="148">
        <f t="shared" si="0"/>
        <v>65410.191130923013</v>
      </c>
      <c r="C17" s="148">
        <f t="shared" si="1"/>
        <v>25333.724164389023</v>
      </c>
      <c r="D17" s="148">
        <f t="shared" si="4"/>
        <v>5581254.087057583</v>
      </c>
      <c r="E17" s="43">
        <f t="shared" si="2"/>
        <v>0.14000000000000001</v>
      </c>
      <c r="F17" s="43">
        <f t="shared" si="3"/>
        <v>110</v>
      </c>
      <c r="G17" s="43"/>
      <c r="H17" s="43"/>
      <c r="I17" s="14"/>
    </row>
    <row r="18" spans="1:12">
      <c r="A18" s="148">
        <f t="shared" si="5"/>
        <v>90743.915295312036</v>
      </c>
      <c r="B18" s="148">
        <f t="shared" si="0"/>
        <v>65114.631015671803</v>
      </c>
      <c r="C18" s="148">
        <f t="shared" si="1"/>
        <v>25629.284279640233</v>
      </c>
      <c r="D18" s="148">
        <f t="shared" si="4"/>
        <v>5555624.8027779432</v>
      </c>
      <c r="E18" s="43">
        <f t="shared" si="2"/>
        <v>0.14000000000000001</v>
      </c>
      <c r="F18" s="43">
        <f t="shared" si="3"/>
        <v>109</v>
      </c>
      <c r="G18" s="43"/>
      <c r="H18" s="43"/>
      <c r="I18" s="14"/>
      <c r="J18" t="s">
        <v>876</v>
      </c>
      <c r="L18" t="s">
        <v>878</v>
      </c>
    </row>
    <row r="19" spans="1:12">
      <c r="A19" s="148">
        <f t="shared" si="5"/>
        <v>90743.915295312036</v>
      </c>
      <c r="B19" s="148">
        <f t="shared" si="0"/>
        <v>64815.622699076011</v>
      </c>
      <c r="C19" s="148">
        <f t="shared" si="1"/>
        <v>25928.292596236024</v>
      </c>
      <c r="D19" s="148">
        <f t="shared" si="4"/>
        <v>5529696.5101817073</v>
      </c>
      <c r="E19" s="43">
        <f t="shared" si="2"/>
        <v>0.14000000000000001</v>
      </c>
      <c r="F19" s="43">
        <f t="shared" si="3"/>
        <v>108</v>
      </c>
      <c r="G19" s="43"/>
      <c r="H19" s="43"/>
      <c r="I19" s="170"/>
      <c r="J19" s="155"/>
      <c r="K19" s="155"/>
      <c r="L19" s="156">
        <f>+D18</f>
        <v>5555624.8027779432</v>
      </c>
    </row>
    <row r="20" spans="1:12">
      <c r="A20" s="148">
        <f t="shared" si="5"/>
        <v>90743.915295312036</v>
      </c>
      <c r="B20" s="148">
        <f t="shared" si="0"/>
        <v>64513.125952119932</v>
      </c>
      <c r="C20" s="148">
        <f t="shared" si="1"/>
        <v>26230.789343192104</v>
      </c>
      <c r="D20" s="148">
        <f t="shared" si="4"/>
        <v>5503465.7208385151</v>
      </c>
      <c r="E20" s="43">
        <f t="shared" si="2"/>
        <v>0.14000000000000001</v>
      </c>
      <c r="F20" s="43">
        <f t="shared" si="3"/>
        <v>107</v>
      </c>
      <c r="G20" s="43"/>
      <c r="H20" s="43"/>
      <c r="I20" s="170"/>
      <c r="J20" s="155"/>
      <c r="K20" s="155"/>
      <c r="L20" s="156">
        <v>3800000</v>
      </c>
    </row>
    <row r="21" spans="1:12">
      <c r="A21" s="148">
        <f t="shared" si="5"/>
        <v>90743.915295312036</v>
      </c>
      <c r="B21" s="148">
        <f t="shared" si="0"/>
        <v>64207.100076449344</v>
      </c>
      <c r="C21" s="148">
        <f t="shared" si="1"/>
        <v>26536.815218862692</v>
      </c>
      <c r="D21" s="148">
        <f t="shared" si="4"/>
        <v>5476928.905619652</v>
      </c>
      <c r="E21" s="43">
        <f t="shared" si="2"/>
        <v>0.14000000000000001</v>
      </c>
      <c r="F21" s="43">
        <f t="shared" si="3"/>
        <v>106</v>
      </c>
      <c r="G21" s="43"/>
      <c r="H21" s="43"/>
      <c r="I21" s="170"/>
      <c r="J21" s="155"/>
      <c r="K21" s="155"/>
      <c r="L21" s="156">
        <v>3800000</v>
      </c>
    </row>
    <row r="22" spans="1:12">
      <c r="A22" s="148">
        <f t="shared" si="5"/>
        <v>90743.915295312036</v>
      </c>
      <c r="B22" s="148">
        <f t="shared" si="0"/>
        <v>63897.50389889595</v>
      </c>
      <c r="C22" s="148">
        <f t="shared" si="1"/>
        <v>26846.411396416086</v>
      </c>
      <c r="D22" s="148">
        <f t="shared" si="4"/>
        <v>5450082.4942232361</v>
      </c>
      <c r="E22" s="43">
        <f t="shared" si="2"/>
        <v>0.14000000000000001</v>
      </c>
      <c r="F22" s="43">
        <f t="shared" si="3"/>
        <v>105</v>
      </c>
      <c r="G22" s="43"/>
      <c r="H22" s="43"/>
      <c r="I22" s="14"/>
    </row>
    <row r="23" spans="1:12">
      <c r="A23" s="148">
        <f t="shared" si="5"/>
        <v>90743.915295312036</v>
      </c>
      <c r="B23" s="148">
        <f t="shared" si="0"/>
        <v>63584.295765937764</v>
      </c>
      <c r="C23" s="148">
        <f t="shared" si="1"/>
        <v>27159.619529374271</v>
      </c>
      <c r="D23" s="148">
        <f t="shared" si="4"/>
        <v>5422922.8746938622</v>
      </c>
      <c r="E23" s="43">
        <f t="shared" si="2"/>
        <v>0.14000000000000001</v>
      </c>
      <c r="F23" s="43">
        <f t="shared" si="3"/>
        <v>104</v>
      </c>
      <c r="G23" s="43"/>
      <c r="H23" s="43"/>
      <c r="I23" s="14"/>
    </row>
    <row r="24" spans="1:12">
      <c r="A24" s="148">
        <f t="shared" si="5"/>
        <v>90743.915295312036</v>
      </c>
      <c r="B24" s="148">
        <f t="shared" si="0"/>
        <v>63267.433538095065</v>
      </c>
      <c r="C24" s="148">
        <f t="shared" si="1"/>
        <v>27476.48175721697</v>
      </c>
      <c r="D24" s="148">
        <f t="shared" si="4"/>
        <v>5395446.3929366451</v>
      </c>
      <c r="E24" s="43">
        <f t="shared" si="2"/>
        <v>0.14000000000000001</v>
      </c>
      <c r="F24" s="43">
        <f t="shared" si="3"/>
        <v>103</v>
      </c>
      <c r="G24" s="43"/>
      <c r="H24" s="43"/>
      <c r="I24" s="14"/>
    </row>
    <row r="25" spans="1:12">
      <c r="A25" s="148">
        <f t="shared" si="5"/>
        <v>90743.915295312036</v>
      </c>
      <c r="B25" s="148">
        <f t="shared" si="0"/>
        <v>62946.874584260862</v>
      </c>
      <c r="C25" s="148">
        <f t="shared" si="1"/>
        <v>27797.040711051173</v>
      </c>
      <c r="D25" s="148">
        <f t="shared" si="4"/>
        <v>5367649.3522255942</v>
      </c>
      <c r="E25" s="43">
        <f t="shared" si="2"/>
        <v>0.14000000000000001</v>
      </c>
      <c r="F25" s="43">
        <f t="shared" si="3"/>
        <v>102</v>
      </c>
      <c r="G25" s="43"/>
      <c r="H25" s="43"/>
      <c r="I25" s="14"/>
    </row>
    <row r="26" spans="1:12">
      <c r="A26" s="148">
        <f t="shared" si="5"/>
        <v>90743.915295312036</v>
      </c>
      <c r="B26" s="148">
        <f t="shared" si="0"/>
        <v>62622.57577596527</v>
      </c>
      <c r="C26" s="148">
        <f t="shared" si="1"/>
        <v>28121.339519346766</v>
      </c>
      <c r="D26" s="148">
        <f t="shared" si="4"/>
        <v>5339528.0127062472</v>
      </c>
      <c r="E26" s="43">
        <f t="shared" si="2"/>
        <v>0.14000000000000001</v>
      </c>
      <c r="F26" s="43">
        <f t="shared" si="3"/>
        <v>101</v>
      </c>
      <c r="G26" s="43"/>
      <c r="H26" s="43"/>
      <c r="I26" s="14"/>
    </row>
    <row r="27" spans="1:12">
      <c r="A27" s="148">
        <f t="shared" si="5"/>
        <v>90743.915295312036</v>
      </c>
      <c r="B27" s="148">
        <f t="shared" si="0"/>
        <v>62294.493481572892</v>
      </c>
      <c r="C27" s="148">
        <f t="shared" si="1"/>
        <v>28449.421813739144</v>
      </c>
      <c r="D27" s="148">
        <f t="shared" si="4"/>
        <v>5311078.5908925077</v>
      </c>
      <c r="E27" s="43">
        <f t="shared" si="2"/>
        <v>0.14000000000000001</v>
      </c>
      <c r="F27" s="43">
        <f t="shared" si="3"/>
        <v>100</v>
      </c>
      <c r="G27" s="43"/>
      <c r="H27" s="43"/>
      <c r="I27" s="14"/>
    </row>
    <row r="28" spans="1:12">
      <c r="A28" s="148">
        <f t="shared" si="5"/>
        <v>90743.915295312036</v>
      </c>
      <c r="B28" s="148">
        <f t="shared" si="0"/>
        <v>61962.583560412597</v>
      </c>
      <c r="C28" s="148">
        <f t="shared" si="1"/>
        <v>28781.331734899439</v>
      </c>
      <c r="D28" s="148">
        <f t="shared" si="4"/>
        <v>5282297.2591576083</v>
      </c>
      <c r="E28" s="43">
        <f t="shared" si="2"/>
        <v>0.14000000000000001</v>
      </c>
      <c r="F28" s="43">
        <f t="shared" si="3"/>
        <v>99</v>
      </c>
      <c r="G28" s="43"/>
      <c r="H28" s="43"/>
      <c r="I28" s="14"/>
    </row>
    <row r="29" spans="1:12">
      <c r="A29" s="148">
        <f t="shared" si="5"/>
        <v>90743.915295312036</v>
      </c>
      <c r="B29" s="148">
        <f t="shared" si="0"/>
        <v>61626.801356838776</v>
      </c>
      <c r="C29" s="148">
        <f t="shared" si="1"/>
        <v>29117.11393847326</v>
      </c>
      <c r="D29" s="148">
        <f t="shared" si="4"/>
        <v>5253180.1452191351</v>
      </c>
      <c r="E29" s="43">
        <f t="shared" si="2"/>
        <v>0.14000000000000001</v>
      </c>
      <c r="F29" s="43">
        <f t="shared" si="3"/>
        <v>98</v>
      </c>
      <c r="G29" s="43"/>
      <c r="H29" s="43"/>
      <c r="I29" s="14"/>
    </row>
    <row r="30" spans="1:12">
      <c r="A30" s="148">
        <f t="shared" si="5"/>
        <v>90743.915295312036</v>
      </c>
      <c r="B30" s="148">
        <f t="shared" si="0"/>
        <v>61287.101694223245</v>
      </c>
      <c r="C30" s="148">
        <f t="shared" si="1"/>
        <v>29456.81360108879</v>
      </c>
      <c r="D30" s="148">
        <f t="shared" si="4"/>
        <v>5223723.3316180464</v>
      </c>
      <c r="E30" s="43">
        <f t="shared" si="2"/>
        <v>0.14000000000000001</v>
      </c>
      <c r="F30" s="43">
        <f t="shared" si="3"/>
        <v>97</v>
      </c>
      <c r="G30" s="43"/>
      <c r="H30" s="43"/>
      <c r="I30" s="14"/>
    </row>
    <row r="31" spans="1:12">
      <c r="A31" s="148">
        <f t="shared" si="5"/>
        <v>90743.915295312036</v>
      </c>
      <c r="B31" s="148">
        <f t="shared" si="0"/>
        <v>60943.438868877216</v>
      </c>
      <c r="C31" s="148">
        <f t="shared" si="1"/>
        <v>29800.47642643482</v>
      </c>
      <c r="D31" s="148">
        <f t="shared" si="4"/>
        <v>5193922.8551916117</v>
      </c>
      <c r="E31" s="43">
        <f t="shared" si="2"/>
        <v>0.14000000000000001</v>
      </c>
      <c r="F31" s="43">
        <f t="shared" si="3"/>
        <v>96</v>
      </c>
      <c r="G31" s="43"/>
      <c r="H31" s="43"/>
      <c r="I31" s="14"/>
    </row>
    <row r="32" spans="1:12">
      <c r="A32" s="148">
        <f t="shared" si="5"/>
        <v>90743.915295312036</v>
      </c>
      <c r="B32" s="148">
        <f t="shared" si="0"/>
        <v>60595.766643902141</v>
      </c>
      <c r="C32" s="148">
        <f t="shared" si="1"/>
        <v>30148.148651409894</v>
      </c>
      <c r="D32" s="148">
        <f t="shared" si="4"/>
        <v>5163774.7065402018</v>
      </c>
      <c r="E32" s="43">
        <f t="shared" si="2"/>
        <v>0.14000000000000001</v>
      </c>
      <c r="F32" s="43">
        <f t="shared" si="3"/>
        <v>95</v>
      </c>
      <c r="G32" s="43"/>
      <c r="H32" s="43"/>
      <c r="I32" s="14"/>
    </row>
    <row r="33" spans="1:9">
      <c r="A33" s="148">
        <f t="shared" si="5"/>
        <v>90743.915295312036</v>
      </c>
      <c r="B33" s="148">
        <f t="shared" si="0"/>
        <v>60244.038242969029</v>
      </c>
      <c r="C33" s="148">
        <f t="shared" si="1"/>
        <v>30499.877052343007</v>
      </c>
      <c r="D33" s="148">
        <f t="shared" si="4"/>
        <v>5133274.8294878583</v>
      </c>
      <c r="E33" s="43">
        <f t="shared" si="2"/>
        <v>0.14000000000000001</v>
      </c>
      <c r="F33" s="43">
        <f t="shared" si="3"/>
        <v>94</v>
      </c>
      <c r="G33" s="43"/>
      <c r="H33" s="43"/>
      <c r="I33" s="14"/>
    </row>
    <row r="34" spans="1:9">
      <c r="A34" s="148">
        <f t="shared" si="5"/>
        <v>90743.915295312036</v>
      </c>
      <c r="B34" s="148">
        <f t="shared" si="0"/>
        <v>59888.206344025013</v>
      </c>
      <c r="C34" s="148">
        <f t="shared" si="1"/>
        <v>30855.708951287023</v>
      </c>
      <c r="D34" s="148">
        <f t="shared" si="4"/>
        <v>5102419.1205365714</v>
      </c>
      <c r="E34" s="43">
        <f t="shared" si="2"/>
        <v>0.14000000000000001</v>
      </c>
      <c r="F34" s="43">
        <f t="shared" si="3"/>
        <v>93</v>
      </c>
      <c r="G34" s="43"/>
      <c r="H34" s="43"/>
      <c r="I34" s="14"/>
    </row>
    <row r="35" spans="1:9">
      <c r="A35" s="148">
        <f t="shared" si="5"/>
        <v>90743.915295312036</v>
      </c>
      <c r="B35" s="148">
        <f t="shared" si="0"/>
        <v>59528.223072926667</v>
      </c>
      <c r="C35" s="148">
        <f t="shared" si="1"/>
        <v>31215.692222385369</v>
      </c>
      <c r="D35" s="148">
        <f t="shared" si="4"/>
        <v>5071203.4283141857</v>
      </c>
      <c r="E35" s="43">
        <f t="shared" si="2"/>
        <v>0.14000000000000001</v>
      </c>
      <c r="F35" s="43">
        <f t="shared" si="3"/>
        <v>92</v>
      </c>
      <c r="G35" s="43"/>
      <c r="H35" s="43"/>
      <c r="I35" s="14"/>
    </row>
    <row r="36" spans="1:9">
      <c r="A36" s="148">
        <f t="shared" si="5"/>
        <v>90743.915295312036</v>
      </c>
      <c r="B36" s="148">
        <f t="shared" si="0"/>
        <v>59164.039996998843</v>
      </c>
      <c r="C36" s="148">
        <f t="shared" si="1"/>
        <v>31579.875298313193</v>
      </c>
      <c r="D36" s="148">
        <f t="shared" si="4"/>
        <v>5039623.5530158728</v>
      </c>
      <c r="E36" s="43">
        <f t="shared" si="2"/>
        <v>0.14000000000000001</v>
      </c>
      <c r="F36" s="43">
        <f t="shared" si="3"/>
        <v>91</v>
      </c>
      <c r="G36" s="43"/>
      <c r="H36" s="43"/>
      <c r="I36" s="14"/>
    </row>
    <row r="37" spans="1:9">
      <c r="A37" s="148">
        <f t="shared" si="5"/>
        <v>90743.915295312036</v>
      </c>
      <c r="B37" s="148">
        <f t="shared" si="0"/>
        <v>58795.608118518518</v>
      </c>
      <c r="C37" s="148">
        <f t="shared" si="1"/>
        <v>31948.307176793518</v>
      </c>
      <c r="D37" s="148">
        <f t="shared" si="4"/>
        <v>5007675.2458390789</v>
      </c>
      <c r="E37" s="43">
        <f t="shared" si="2"/>
        <v>0.14000000000000001</v>
      </c>
      <c r="F37" s="43">
        <f t="shared" si="3"/>
        <v>90</v>
      </c>
      <c r="G37" s="43"/>
      <c r="H37" s="43"/>
      <c r="I37" s="14"/>
    </row>
    <row r="38" spans="1:9">
      <c r="A38" s="148">
        <f t="shared" si="5"/>
        <v>90743.915295312036</v>
      </c>
      <c r="B38" s="148">
        <f t="shared" si="0"/>
        <v>58422.877868122596</v>
      </c>
      <c r="C38" s="148">
        <f t="shared" si="1"/>
        <v>32321.03742718944</v>
      </c>
      <c r="D38" s="148">
        <f t="shared" si="4"/>
        <v>4975354.2084118892</v>
      </c>
      <c r="E38" s="43">
        <f t="shared" si="2"/>
        <v>0.14000000000000001</v>
      </c>
      <c r="F38" s="43">
        <f t="shared" si="3"/>
        <v>89</v>
      </c>
      <c r="G38" s="43"/>
      <c r="H38" s="43"/>
      <c r="I38" s="14"/>
    </row>
    <row r="39" spans="1:9">
      <c r="A39" s="148">
        <f t="shared" si="5"/>
        <v>90743.915295312036</v>
      </c>
      <c r="B39" s="148">
        <f t="shared" si="0"/>
        <v>58045.799098138719</v>
      </c>
      <c r="C39" s="148">
        <f t="shared" si="1"/>
        <v>32698.116197173316</v>
      </c>
      <c r="D39" s="148">
        <f t="shared" si="4"/>
        <v>4942656.0922147157</v>
      </c>
      <c r="E39" s="43">
        <f t="shared" si="2"/>
        <v>0.14000000000000001</v>
      </c>
      <c r="F39" s="43">
        <f t="shared" si="3"/>
        <v>88</v>
      </c>
      <c r="G39" s="43"/>
      <c r="H39" s="43"/>
      <c r="I39" s="14"/>
    </row>
    <row r="40" spans="1:9">
      <c r="A40" s="148">
        <f t="shared" si="5"/>
        <v>90743.915295312036</v>
      </c>
      <c r="B40" s="148">
        <f t="shared" si="0"/>
        <v>57664.32107583835</v>
      </c>
      <c r="C40" s="148">
        <f t="shared" si="1"/>
        <v>33079.594219473685</v>
      </c>
      <c r="D40" s="148">
        <f t="shared" si="4"/>
        <v>4909576.4979952415</v>
      </c>
      <c r="E40" s="43">
        <f t="shared" si="2"/>
        <v>0.14000000000000001</v>
      </c>
      <c r="F40" s="43">
        <f t="shared" si="3"/>
        <v>87</v>
      </c>
      <c r="G40" s="43"/>
      <c r="H40" s="43"/>
      <c r="I40" s="14"/>
    </row>
    <row r="41" spans="1:9">
      <c r="A41" s="148">
        <f t="shared" si="5"/>
        <v>90743.915295312036</v>
      </c>
      <c r="B41" s="148">
        <f t="shared" si="0"/>
        <v>57278.39247661116</v>
      </c>
      <c r="C41" s="148">
        <f t="shared" si="1"/>
        <v>33465.522818700876</v>
      </c>
      <c r="D41" s="148">
        <f t="shared" si="4"/>
        <v>4876110.9751765411</v>
      </c>
      <c r="E41" s="43">
        <f t="shared" si="2"/>
        <v>0.14000000000000001</v>
      </c>
      <c r="F41" s="43">
        <f t="shared" si="3"/>
        <v>86</v>
      </c>
      <c r="G41" s="43"/>
      <c r="H41" s="43"/>
      <c r="I41" s="14"/>
    </row>
    <row r="42" spans="1:9">
      <c r="A42" s="148">
        <f t="shared" si="5"/>
        <v>90743.915295312036</v>
      </c>
      <c r="B42" s="148">
        <f t="shared" si="0"/>
        <v>56887.961377059655</v>
      </c>
      <c r="C42" s="148">
        <f t="shared" si="1"/>
        <v>33855.95391825238</v>
      </c>
      <c r="D42" s="148">
        <f t="shared" si="4"/>
        <v>4842255.021258289</v>
      </c>
      <c r="E42" s="43">
        <f t="shared" si="2"/>
        <v>0.14000000000000001</v>
      </c>
      <c r="F42" s="43">
        <f t="shared" si="3"/>
        <v>85</v>
      </c>
      <c r="G42" s="43"/>
      <c r="H42" s="43"/>
      <c r="I42" s="14"/>
    </row>
    <row r="43" spans="1:9">
      <c r="A43" s="148">
        <f t="shared" si="5"/>
        <v>90743.915295312036</v>
      </c>
      <c r="B43" s="148">
        <f t="shared" si="0"/>
        <v>56492.975248013383</v>
      </c>
      <c r="C43" s="148">
        <f t="shared" si="1"/>
        <v>34250.940047298653</v>
      </c>
      <c r="D43" s="148">
        <f t="shared" si="4"/>
        <v>4808004.0812109904</v>
      </c>
      <c r="E43" s="43">
        <f t="shared" si="2"/>
        <v>0.14000000000000001</v>
      </c>
      <c r="F43" s="43">
        <f t="shared" si="3"/>
        <v>84</v>
      </c>
      <c r="G43" s="43"/>
      <c r="H43" s="43"/>
      <c r="I43" s="14"/>
    </row>
    <row r="44" spans="1:9">
      <c r="A44" s="148">
        <f t="shared" si="5"/>
        <v>90743.915295312036</v>
      </c>
      <c r="B44" s="148">
        <f t="shared" si="0"/>
        <v>56093.380947461563</v>
      </c>
      <c r="C44" s="148">
        <f t="shared" si="1"/>
        <v>34650.534347850473</v>
      </c>
      <c r="D44" s="148">
        <f t="shared" si="4"/>
        <v>4773353.5468631396</v>
      </c>
      <c r="E44" s="43">
        <f t="shared" si="2"/>
        <v>0.14000000000000001</v>
      </c>
      <c r="F44" s="43">
        <f t="shared" si="3"/>
        <v>83</v>
      </c>
      <c r="G44" s="37"/>
      <c r="H44" s="37"/>
    </row>
    <row r="45" spans="1:9">
      <c r="A45" s="148">
        <f t="shared" si="5"/>
        <v>90743.915295312036</v>
      </c>
      <c r="B45" s="148">
        <f t="shared" si="0"/>
        <v>55689.124713403296</v>
      </c>
      <c r="C45" s="148">
        <f t="shared" si="1"/>
        <v>35054.790581908739</v>
      </c>
      <c r="D45" s="148">
        <f t="shared" si="4"/>
        <v>4738298.7562812306</v>
      </c>
      <c r="E45" s="43">
        <f t="shared" si="2"/>
        <v>0.14000000000000001</v>
      </c>
      <c r="F45" s="43">
        <f t="shared" si="3"/>
        <v>82</v>
      </c>
      <c r="G45" s="37"/>
      <c r="H45" s="37"/>
    </row>
    <row r="46" spans="1:9">
      <c r="A46" s="148">
        <f t="shared" si="5"/>
        <v>90743.915295312036</v>
      </c>
      <c r="B46" s="148">
        <f t="shared" si="0"/>
        <v>55280.152156614356</v>
      </c>
      <c r="C46" s="148">
        <f t="shared" si="1"/>
        <v>35463.763138697679</v>
      </c>
      <c r="D46" s="148">
        <f t="shared" si="4"/>
        <v>4702834.9931425331</v>
      </c>
      <c r="E46" s="43">
        <f t="shared" si="2"/>
        <v>0.14000000000000001</v>
      </c>
      <c r="F46" s="43">
        <f t="shared" si="3"/>
        <v>81</v>
      </c>
      <c r="G46" s="37"/>
      <c r="H46" s="37"/>
    </row>
    <row r="47" spans="1:9">
      <c r="A47" s="148">
        <f t="shared" si="5"/>
        <v>90743.915295312036</v>
      </c>
      <c r="B47" s="148">
        <f t="shared" si="0"/>
        <v>54866.408253329551</v>
      </c>
      <c r="C47" s="148">
        <f t="shared" si="1"/>
        <v>35877.507041982484</v>
      </c>
      <c r="D47" s="148">
        <f t="shared" si="4"/>
        <v>4666957.4861005507</v>
      </c>
      <c r="E47" s="43">
        <f t="shared" si="2"/>
        <v>0.14000000000000001</v>
      </c>
      <c r="F47" s="43">
        <f t="shared" si="3"/>
        <v>80</v>
      </c>
      <c r="G47" s="153"/>
      <c r="H47" s="153"/>
    </row>
    <row r="48" spans="1:9">
      <c r="A48" s="148">
        <f t="shared" si="5"/>
        <v>90743.915295312036</v>
      </c>
      <c r="B48" s="148">
        <f t="shared" si="0"/>
        <v>54447.837337839766</v>
      </c>
      <c r="C48" s="148">
        <f t="shared" si="1"/>
        <v>36296.077957472269</v>
      </c>
      <c r="D48" s="148">
        <f t="shared" si="4"/>
        <v>4630661.4081430789</v>
      </c>
      <c r="E48" s="43">
        <f t="shared" si="2"/>
        <v>0.14000000000000001</v>
      </c>
      <c r="F48" s="43">
        <f t="shared" si="3"/>
        <v>79</v>
      </c>
      <c r="G48" s="153"/>
      <c r="H48" s="153"/>
    </row>
    <row r="49" spans="1:9">
      <c r="A49" s="148">
        <f t="shared" si="5"/>
        <v>90743.915295312036</v>
      </c>
      <c r="B49" s="148">
        <f t="shared" si="0"/>
        <v>54024.383095002588</v>
      </c>
      <c r="C49" s="148">
        <f t="shared" si="1"/>
        <v>36719.532200309448</v>
      </c>
      <c r="D49" s="148">
        <f t="shared" si="4"/>
        <v>4593941.8759427695</v>
      </c>
      <c r="E49" s="43">
        <f t="shared" si="2"/>
        <v>0.14000000000000001</v>
      </c>
      <c r="F49" s="43">
        <f t="shared" si="3"/>
        <v>78</v>
      </c>
      <c r="G49" s="153"/>
      <c r="H49" s="153"/>
    </row>
    <row r="50" spans="1:9">
      <c r="A50" s="148">
        <f t="shared" si="5"/>
        <v>90743.915295312036</v>
      </c>
      <c r="B50" s="148">
        <f t="shared" si="0"/>
        <v>53595.988552665651</v>
      </c>
      <c r="C50" s="148">
        <f t="shared" si="1"/>
        <v>37147.926742646385</v>
      </c>
      <c r="D50" s="148">
        <f t="shared" si="4"/>
        <v>4556793.9492001226</v>
      </c>
      <c r="E50" s="43">
        <f t="shared" si="2"/>
        <v>0.14000000000000001</v>
      </c>
      <c r="F50" s="43">
        <f t="shared" si="3"/>
        <v>77</v>
      </c>
      <c r="G50" s="153"/>
      <c r="H50" s="153"/>
    </row>
    <row r="51" spans="1:9">
      <c r="A51" s="148">
        <f t="shared" si="5"/>
        <v>90743.915295312036</v>
      </c>
      <c r="B51" s="148">
        <f t="shared" si="0"/>
        <v>53162.596074001434</v>
      </c>
      <c r="C51" s="148">
        <f t="shared" si="1"/>
        <v>37581.319221310601</v>
      </c>
      <c r="D51" s="148">
        <f t="shared" si="4"/>
        <v>4519212.6299788123</v>
      </c>
      <c r="E51" s="43">
        <f t="shared" si="2"/>
        <v>0.14000000000000001</v>
      </c>
      <c r="F51" s="43">
        <f t="shared" si="3"/>
        <v>76</v>
      </c>
      <c r="G51" s="153"/>
      <c r="H51" s="153"/>
    </row>
    <row r="52" spans="1:9">
      <c r="A52" s="148">
        <f t="shared" si="5"/>
        <v>90743.915295312036</v>
      </c>
      <c r="B52" s="148">
        <f t="shared" si="0"/>
        <v>52724.147349752813</v>
      </c>
      <c r="C52" s="148">
        <f t="shared" si="1"/>
        <v>38019.767945559222</v>
      </c>
      <c r="D52" s="148">
        <f t="shared" si="4"/>
        <v>4481192.8620332535</v>
      </c>
      <c r="E52" s="43">
        <f t="shared" si="2"/>
        <v>0.14000000000000001</v>
      </c>
      <c r="F52" s="43">
        <f t="shared" si="3"/>
        <v>75</v>
      </c>
      <c r="G52" s="153"/>
      <c r="H52" s="153"/>
    </row>
    <row r="53" spans="1:9">
      <c r="A53" s="148">
        <f t="shared" si="5"/>
        <v>90743.915295312036</v>
      </c>
      <c r="B53" s="148">
        <f t="shared" si="0"/>
        <v>52280.583390387961</v>
      </c>
      <c r="C53" s="148">
        <f t="shared" si="1"/>
        <v>38463.331904924074</v>
      </c>
      <c r="D53" s="148">
        <f t="shared" si="4"/>
        <v>4442729.5301283291</v>
      </c>
      <c r="E53" s="43">
        <f t="shared" si="2"/>
        <v>0.14000000000000001</v>
      </c>
      <c r="F53" s="43">
        <f t="shared" si="3"/>
        <v>74</v>
      </c>
      <c r="G53" s="153"/>
      <c r="H53" s="153"/>
    </row>
    <row r="54" spans="1:9">
      <c r="A54" s="148">
        <f t="shared" si="5"/>
        <v>90743.915295312036</v>
      </c>
      <c r="B54" s="148">
        <f t="shared" si="0"/>
        <v>51831.844518163845</v>
      </c>
      <c r="C54" s="148">
        <f t="shared" si="1"/>
        <v>38912.07077714819</v>
      </c>
      <c r="D54" s="148">
        <f t="shared" si="4"/>
        <v>4403817.4593511811</v>
      </c>
      <c r="E54" s="43">
        <f t="shared" si="2"/>
        <v>0.14000000000000001</v>
      </c>
      <c r="F54" s="43">
        <f t="shared" si="3"/>
        <v>73</v>
      </c>
      <c r="G54" s="153"/>
      <c r="H54" s="153"/>
    </row>
    <row r="55" spans="1:9">
      <c r="A55" s="148">
        <f t="shared" si="5"/>
        <v>90743.915295312036</v>
      </c>
      <c r="B55" s="148">
        <f t="shared" si="0"/>
        <v>51377.870359097113</v>
      </c>
      <c r="C55" s="148">
        <f t="shared" si="1"/>
        <v>39366.044936214923</v>
      </c>
      <c r="D55" s="148">
        <f t="shared" si="4"/>
        <v>4364451.4144149665</v>
      </c>
      <c r="E55" s="43">
        <f t="shared" si="2"/>
        <v>0.14000000000000001</v>
      </c>
      <c r="F55" s="43">
        <f t="shared" si="3"/>
        <v>72</v>
      </c>
      <c r="G55" s="153"/>
      <c r="H55" s="153"/>
    </row>
    <row r="56" spans="1:9">
      <c r="A56" s="148">
        <f t="shared" si="5"/>
        <v>90743.915295312036</v>
      </c>
      <c r="B56" s="148">
        <f t="shared" si="0"/>
        <v>50918.599834841276</v>
      </c>
      <c r="C56" s="148">
        <f t="shared" si="1"/>
        <v>39825.31546047076</v>
      </c>
      <c r="D56" s="148">
        <f t="shared" si="4"/>
        <v>4324626.098954496</v>
      </c>
      <c r="E56" s="43">
        <f t="shared" si="2"/>
        <v>0.14000000000000001</v>
      </c>
      <c r="F56" s="43">
        <f t="shared" si="3"/>
        <v>71</v>
      </c>
      <c r="G56" s="153"/>
      <c r="H56" s="153"/>
    </row>
    <row r="57" spans="1:9">
      <c r="A57" s="148">
        <f t="shared" si="5"/>
        <v>90743.915295312036</v>
      </c>
      <c r="B57" s="148">
        <f t="shared" si="0"/>
        <v>50453.971154469124</v>
      </c>
      <c r="C57" s="148">
        <f t="shared" si="1"/>
        <v>40289.944140842912</v>
      </c>
      <c r="D57" s="148">
        <f t="shared" si="4"/>
        <v>4284336.1548136529</v>
      </c>
      <c r="E57" s="43">
        <f t="shared" si="2"/>
        <v>0.14000000000000001</v>
      </c>
      <c r="F57" s="43">
        <f t="shared" si="3"/>
        <v>70</v>
      </c>
      <c r="G57" s="153"/>
      <c r="H57" s="153"/>
    </row>
    <row r="58" spans="1:9">
      <c r="A58" s="148">
        <f t="shared" si="5"/>
        <v>90743.915295312036</v>
      </c>
      <c r="B58" s="148">
        <f t="shared" si="0"/>
        <v>49983.921806159284</v>
      </c>
      <c r="C58" s="148">
        <f t="shared" si="1"/>
        <v>40759.993489152752</v>
      </c>
      <c r="D58" s="148">
        <f t="shared" si="4"/>
        <v>4243576.1613245001</v>
      </c>
      <c r="E58" s="43">
        <f t="shared" si="2"/>
        <v>0.14000000000000001</v>
      </c>
      <c r="F58" s="43">
        <f t="shared" si="3"/>
        <v>69</v>
      </c>
      <c r="G58" s="153"/>
      <c r="H58" s="153"/>
      <c r="I58" s="153"/>
    </row>
    <row r="59" spans="1:9">
      <c r="A59" s="148">
        <f t="shared" si="5"/>
        <v>90743.915295312036</v>
      </c>
      <c r="B59" s="148">
        <f t="shared" si="0"/>
        <v>49508.388548785842</v>
      </c>
      <c r="C59" s="148">
        <f t="shared" si="1"/>
        <v>41235.526746526193</v>
      </c>
      <c r="D59" s="148">
        <f t="shared" si="4"/>
        <v>4202340.6345779737</v>
      </c>
      <c r="E59" s="43">
        <f t="shared" si="2"/>
        <v>0.14000000000000001</v>
      </c>
      <c r="F59" s="43">
        <f t="shared" si="3"/>
        <v>68</v>
      </c>
      <c r="G59" s="153"/>
      <c r="H59" s="153"/>
      <c r="I59" s="153"/>
    </row>
    <row r="60" spans="1:9">
      <c r="A60" s="148">
        <f t="shared" si="5"/>
        <v>90743.915295312036</v>
      </c>
      <c r="B60" s="148">
        <f t="shared" si="0"/>
        <v>49027.307403409701</v>
      </c>
      <c r="C60" s="148">
        <f t="shared" si="1"/>
        <v>41716.607891902335</v>
      </c>
      <c r="D60" s="148">
        <f t="shared" si="4"/>
        <v>4160624.0266860714</v>
      </c>
      <c r="E60" s="43">
        <f t="shared" si="2"/>
        <v>0.14000000000000001</v>
      </c>
      <c r="F60" s="43">
        <f t="shared" si="3"/>
        <v>67</v>
      </c>
      <c r="G60" s="153"/>
      <c r="H60" s="153"/>
      <c r="I60" s="153"/>
    </row>
    <row r="61" spans="1:9">
      <c r="A61" s="148">
        <f t="shared" si="5"/>
        <v>90743.915295312036</v>
      </c>
      <c r="B61" s="148">
        <f t="shared" si="0"/>
        <v>48540.613644670841</v>
      </c>
      <c r="C61" s="148">
        <f t="shared" si="1"/>
        <v>42203.301650641195</v>
      </c>
      <c r="D61" s="148">
        <f t="shared" si="4"/>
        <v>4118420.7250354304</v>
      </c>
      <c r="E61" s="43">
        <f t="shared" si="2"/>
        <v>0.14000000000000001</v>
      </c>
      <c r="F61" s="43">
        <f t="shared" si="3"/>
        <v>66</v>
      </c>
      <c r="G61" s="153"/>
      <c r="H61" s="153"/>
      <c r="I61" s="153"/>
    </row>
    <row r="62" spans="1:9">
      <c r="A62" s="148">
        <f t="shared" si="5"/>
        <v>90743.915295312036</v>
      </c>
      <c r="B62" s="148">
        <f t="shared" si="0"/>
        <v>48048.241792080022</v>
      </c>
      <c r="C62" s="148">
        <f t="shared" si="1"/>
        <v>42695.673503232014</v>
      </c>
      <c r="D62" s="148">
        <f t="shared" si="4"/>
        <v>4075725.0515321982</v>
      </c>
      <c r="E62" s="43">
        <f t="shared" si="2"/>
        <v>0.14000000000000001</v>
      </c>
      <c r="F62" s="43">
        <f t="shared" si="3"/>
        <v>65</v>
      </c>
      <c r="G62" s="153"/>
      <c r="H62" s="153"/>
      <c r="I62" s="153"/>
    </row>
    <row r="63" spans="1:9">
      <c r="A63" s="148">
        <f t="shared" si="5"/>
        <v>90743.915295312036</v>
      </c>
      <c r="B63" s="148">
        <f t="shared" si="0"/>
        <v>47550.12560120898</v>
      </c>
      <c r="C63" s="148">
        <f t="shared" si="1"/>
        <v>43193.789694103056</v>
      </c>
      <c r="D63" s="148">
        <f t="shared" si="4"/>
        <v>4032531.2618380953</v>
      </c>
      <c r="E63" s="43">
        <f t="shared" si="2"/>
        <v>0.14000000000000001</v>
      </c>
      <c r="F63" s="43">
        <f t="shared" si="3"/>
        <v>64</v>
      </c>
      <c r="G63" s="153"/>
      <c r="H63" s="153"/>
      <c r="I63" s="153"/>
    </row>
    <row r="64" spans="1:9">
      <c r="A64" s="148">
        <f t="shared" si="5"/>
        <v>90743.915295312036</v>
      </c>
      <c r="B64" s="148">
        <f t="shared" si="0"/>
        <v>47046.198054777778</v>
      </c>
      <c r="C64" s="148">
        <f t="shared" si="1"/>
        <v>43697.717240534257</v>
      </c>
      <c r="D64" s="148">
        <f t="shared" si="4"/>
        <v>3988833.544597561</v>
      </c>
      <c r="E64" s="43">
        <f t="shared" si="2"/>
        <v>0.14000000000000001</v>
      </c>
      <c r="F64" s="43">
        <f t="shared" si="3"/>
        <v>63</v>
      </c>
      <c r="G64" s="153"/>
      <c r="H64" s="153"/>
      <c r="I64" s="153"/>
    </row>
    <row r="65" spans="1:9">
      <c r="A65" s="148">
        <f t="shared" si="5"/>
        <v>90743.915295312036</v>
      </c>
      <c r="B65" s="148">
        <f t="shared" si="0"/>
        <v>46536.39135363821</v>
      </c>
      <c r="C65" s="148">
        <f t="shared" si="1"/>
        <v>44207.523941673826</v>
      </c>
      <c r="D65" s="148">
        <f t="shared" si="4"/>
        <v>3944626.0206558872</v>
      </c>
      <c r="E65" s="43">
        <f t="shared" si="2"/>
        <v>0.14000000000000001</v>
      </c>
      <c r="F65" s="43">
        <f t="shared" si="3"/>
        <v>62</v>
      </c>
      <c r="G65" s="153"/>
      <c r="H65" s="153"/>
      <c r="I65" s="153"/>
    </row>
    <row r="66" spans="1:9">
      <c r="A66" s="148">
        <f t="shared" si="5"/>
        <v>90743.915295312036</v>
      </c>
      <c r="B66" s="148">
        <f t="shared" si="0"/>
        <v>46020.63690765202</v>
      </c>
      <c r="C66" s="148">
        <f t="shared" si="1"/>
        <v>44723.278387660015</v>
      </c>
      <c r="D66" s="148">
        <f t="shared" si="4"/>
        <v>3899902.742268227</v>
      </c>
      <c r="E66" s="43">
        <f t="shared" si="2"/>
        <v>0.14000000000000001</v>
      </c>
      <c r="F66" s="43">
        <f t="shared" si="3"/>
        <v>61</v>
      </c>
      <c r="G66" s="153"/>
      <c r="H66" s="153"/>
      <c r="I66" s="153"/>
    </row>
    <row r="67" spans="1:9">
      <c r="A67" s="148">
        <f t="shared" si="5"/>
        <v>90743.915295312036</v>
      </c>
      <c r="B67" s="148">
        <f t="shared" si="0"/>
        <v>45498.865326462656</v>
      </c>
      <c r="C67" s="148">
        <f t="shared" si="1"/>
        <v>45245.04996884938</v>
      </c>
      <c r="D67" s="148">
        <f t="shared" si="4"/>
        <v>3854657.6922993776</v>
      </c>
      <c r="E67" s="43">
        <f t="shared" si="2"/>
        <v>0.14000000000000001</v>
      </c>
      <c r="F67" s="43">
        <f t="shared" si="3"/>
        <v>60</v>
      </c>
      <c r="G67" s="153"/>
      <c r="H67" s="153"/>
      <c r="I67" s="153"/>
    </row>
    <row r="68" spans="1:9">
      <c r="A68" s="148">
        <f t="shared" si="5"/>
        <v>90743.915295312036</v>
      </c>
      <c r="B68" s="148">
        <f t="shared" si="0"/>
        <v>44971.006410159411</v>
      </c>
      <c r="C68" s="148">
        <f t="shared" si="1"/>
        <v>45772.908885152625</v>
      </c>
      <c r="D68" s="148">
        <f t="shared" si="4"/>
        <v>3808884.7834142251</v>
      </c>
      <c r="E68" s="43">
        <f t="shared" si="2"/>
        <v>0.14000000000000001</v>
      </c>
      <c r="F68" s="43">
        <f t="shared" si="3"/>
        <v>59</v>
      </c>
      <c r="G68" s="153"/>
      <c r="H68" s="153"/>
      <c r="I68" s="153"/>
    </row>
    <row r="69" spans="1:9">
      <c r="A69" s="148">
        <f t="shared" si="5"/>
        <v>90743.915295312036</v>
      </c>
      <c r="B69" s="148">
        <f t="shared" si="0"/>
        <v>44436.989139832636</v>
      </c>
      <c r="C69" s="148">
        <f t="shared" si="1"/>
        <v>46306.926155479399</v>
      </c>
      <c r="D69" s="148">
        <f t="shared" si="4"/>
        <v>3762577.8572587455</v>
      </c>
      <c r="E69" s="43">
        <f t="shared" si="2"/>
        <v>0.14000000000000001</v>
      </c>
      <c r="F69" s="43">
        <f t="shared" si="3"/>
        <v>58</v>
      </c>
      <c r="G69" s="153"/>
      <c r="H69" s="153"/>
      <c r="I69" s="153"/>
    </row>
    <row r="70" spans="1:9">
      <c r="A70" s="148">
        <f t="shared" si="5"/>
        <v>90743.915295312036</v>
      </c>
      <c r="B70" s="148">
        <f t="shared" si="0"/>
        <v>43896.741668018694</v>
      </c>
      <c r="C70" s="148">
        <f t="shared" si="1"/>
        <v>46847.173627293341</v>
      </c>
      <c r="D70" s="148">
        <f t="shared" si="4"/>
        <v>3715730.6836314523</v>
      </c>
      <c r="E70" s="43">
        <f t="shared" si="2"/>
        <v>0.14000000000000001</v>
      </c>
      <c r="F70" s="43">
        <f t="shared" si="3"/>
        <v>57</v>
      </c>
      <c r="G70" s="153"/>
      <c r="H70" s="153"/>
      <c r="I70" s="153"/>
    </row>
    <row r="71" spans="1:9">
      <c r="A71" s="148">
        <f t="shared" si="5"/>
        <v>90743.915295312036</v>
      </c>
      <c r="B71" s="148">
        <f t="shared" si="0"/>
        <v>43350.191309033609</v>
      </c>
      <c r="C71" s="148">
        <f t="shared" si="1"/>
        <v>47393.723986278426</v>
      </c>
      <c r="D71" s="148">
        <f t="shared" si="4"/>
        <v>3668336.959645174</v>
      </c>
      <c r="E71" s="43">
        <f t="shared" si="2"/>
        <v>0.14000000000000001</v>
      </c>
      <c r="F71" s="43">
        <f t="shared" si="3"/>
        <v>56</v>
      </c>
      <c r="G71" s="153"/>
      <c r="H71" s="153"/>
      <c r="I71" s="153"/>
    </row>
    <row r="72" spans="1:9">
      <c r="A72" s="148">
        <f t="shared" si="5"/>
        <v>90743.915295312036</v>
      </c>
      <c r="B72" s="148">
        <f t="shared" si="0"/>
        <v>42797.264529193701</v>
      </c>
      <c r="C72" s="148">
        <f t="shared" ref="C72:C131" si="6">+A72-B72</f>
        <v>47946.650766118335</v>
      </c>
      <c r="D72" s="148">
        <f t="shared" si="4"/>
        <v>3620390.3088790555</v>
      </c>
      <c r="E72" s="43">
        <f t="shared" ref="E72:E127" si="7">+E71</f>
        <v>0.14000000000000001</v>
      </c>
      <c r="F72" s="43">
        <f t="shared" ref="F72:F127" si="8">+F71-1</f>
        <v>55</v>
      </c>
      <c r="G72" s="153"/>
      <c r="H72" s="153"/>
      <c r="I72" s="153"/>
    </row>
    <row r="73" spans="1:9">
      <c r="A73" s="148">
        <f t="shared" si="5"/>
        <v>90743.915295312036</v>
      </c>
      <c r="B73" s="148">
        <f t="shared" si="0"/>
        <v>42237.886936922318</v>
      </c>
      <c r="C73" s="148">
        <f t="shared" si="6"/>
        <v>48506.028358389718</v>
      </c>
      <c r="D73" s="148">
        <f t="shared" ref="D73:D127" si="9">+D72-C73</f>
        <v>3571884.2805206659</v>
      </c>
      <c r="E73" s="43">
        <f t="shared" si="7"/>
        <v>0.14000000000000001</v>
      </c>
      <c r="F73" s="43">
        <f t="shared" si="8"/>
        <v>54</v>
      </c>
      <c r="G73" s="153"/>
      <c r="H73" s="153"/>
      <c r="I73" s="153"/>
    </row>
    <row r="74" spans="1:9">
      <c r="A74" s="148">
        <f t="shared" ref="A74:A117" si="10">+A73</f>
        <v>90743.915295312036</v>
      </c>
      <c r="B74" s="148">
        <f t="shared" ref="B74:B127" si="11">+D73*E73/12</f>
        <v>41671.983272741105</v>
      </c>
      <c r="C74" s="148">
        <f t="shared" si="6"/>
        <v>49071.932022570931</v>
      </c>
      <c r="D74" s="148">
        <f t="shared" si="9"/>
        <v>3522812.3484980948</v>
      </c>
      <c r="E74" s="43">
        <f t="shared" si="7"/>
        <v>0.14000000000000001</v>
      </c>
      <c r="F74" s="43">
        <f t="shared" si="8"/>
        <v>53</v>
      </c>
      <c r="G74" s="153"/>
      <c r="H74" s="153"/>
      <c r="I74" s="153"/>
    </row>
    <row r="75" spans="1:9">
      <c r="A75" s="148">
        <f t="shared" si="10"/>
        <v>90743.915295312036</v>
      </c>
      <c r="B75" s="148">
        <f t="shared" si="11"/>
        <v>41099.477399144445</v>
      </c>
      <c r="C75" s="148">
        <f t="shared" si="6"/>
        <v>49644.43789616759</v>
      </c>
      <c r="D75" s="148">
        <f t="shared" si="9"/>
        <v>3473167.9106019274</v>
      </c>
      <c r="E75" s="43">
        <f t="shared" si="7"/>
        <v>0.14000000000000001</v>
      </c>
      <c r="F75" s="43">
        <f t="shared" si="8"/>
        <v>52</v>
      </c>
      <c r="G75" s="153"/>
      <c r="H75" s="153"/>
      <c r="I75" s="153"/>
    </row>
    <row r="76" spans="1:9">
      <c r="A76" s="148">
        <f t="shared" si="10"/>
        <v>90743.915295312036</v>
      </c>
      <c r="B76" s="148">
        <f t="shared" si="11"/>
        <v>40520.292290355828</v>
      </c>
      <c r="C76" s="148">
        <f t="shared" si="6"/>
        <v>50223.623004956207</v>
      </c>
      <c r="D76" s="148">
        <f t="shared" si="9"/>
        <v>3422944.2875969713</v>
      </c>
      <c r="E76" s="43">
        <f t="shared" si="7"/>
        <v>0.14000000000000001</v>
      </c>
      <c r="F76" s="43">
        <f t="shared" si="8"/>
        <v>51</v>
      </c>
      <c r="G76" s="153"/>
      <c r="H76" s="153"/>
      <c r="I76" s="153"/>
    </row>
    <row r="77" spans="1:9">
      <c r="A77" s="148">
        <f t="shared" si="10"/>
        <v>90743.915295312036</v>
      </c>
      <c r="B77" s="148">
        <f t="shared" si="11"/>
        <v>39934.350021964667</v>
      </c>
      <c r="C77" s="148">
        <f t="shared" si="6"/>
        <v>50809.565273347369</v>
      </c>
      <c r="D77" s="148">
        <f t="shared" si="9"/>
        <v>3372134.722323624</v>
      </c>
      <c r="E77" s="43">
        <f t="shared" si="7"/>
        <v>0.14000000000000001</v>
      </c>
      <c r="F77" s="43">
        <f t="shared" si="8"/>
        <v>50</v>
      </c>
      <c r="G77" s="153"/>
      <c r="H77" s="153"/>
      <c r="I77" s="153"/>
    </row>
    <row r="78" spans="1:9">
      <c r="A78" s="148">
        <f t="shared" si="10"/>
        <v>90743.915295312036</v>
      </c>
      <c r="B78" s="148">
        <f t="shared" si="11"/>
        <v>39341.571760442283</v>
      </c>
      <c r="C78" s="148">
        <f t="shared" si="6"/>
        <v>51402.343534869753</v>
      </c>
      <c r="D78" s="148">
        <f t="shared" si="9"/>
        <v>3320732.3787887543</v>
      </c>
      <c r="E78" s="43">
        <f t="shared" si="7"/>
        <v>0.14000000000000001</v>
      </c>
      <c r="F78" s="43">
        <f t="shared" si="8"/>
        <v>49</v>
      </c>
      <c r="G78" s="153"/>
      <c r="H78" s="153"/>
      <c r="I78" s="153"/>
    </row>
    <row r="79" spans="1:9">
      <c r="A79" s="148">
        <f t="shared" si="10"/>
        <v>90743.915295312036</v>
      </c>
      <c r="B79" s="148">
        <f t="shared" si="11"/>
        <v>38741.877752535474</v>
      </c>
      <c r="C79" s="148">
        <f t="shared" si="6"/>
        <v>52002.037542776561</v>
      </c>
      <c r="D79" s="148">
        <f t="shared" si="9"/>
        <v>3268730.3412459777</v>
      </c>
      <c r="E79" s="43">
        <f t="shared" si="7"/>
        <v>0.14000000000000001</v>
      </c>
      <c r="F79" s="43">
        <f t="shared" si="8"/>
        <v>48</v>
      </c>
      <c r="G79" s="153"/>
      <c r="H79" s="153"/>
      <c r="I79" s="153"/>
    </row>
    <row r="80" spans="1:9">
      <c r="A80" s="148">
        <f t="shared" si="10"/>
        <v>90743.915295312036</v>
      </c>
      <c r="B80" s="148">
        <f t="shared" si="11"/>
        <v>38135.187314536408</v>
      </c>
      <c r="C80" s="148">
        <f t="shared" si="6"/>
        <v>52608.727980775628</v>
      </c>
      <c r="D80" s="148">
        <f t="shared" si="9"/>
        <v>3216121.6132652019</v>
      </c>
      <c r="E80" s="43">
        <f t="shared" si="7"/>
        <v>0.14000000000000001</v>
      </c>
      <c r="F80" s="43">
        <f t="shared" si="8"/>
        <v>47</v>
      </c>
      <c r="G80" s="153"/>
      <c r="H80" s="153"/>
      <c r="I80" s="153"/>
    </row>
    <row r="81" spans="1:9">
      <c r="A81" s="148">
        <f t="shared" si="10"/>
        <v>90743.915295312036</v>
      </c>
      <c r="B81" s="148">
        <f t="shared" si="11"/>
        <v>37521.41882142736</v>
      </c>
      <c r="C81" s="148">
        <f t="shared" si="6"/>
        <v>53222.496473884676</v>
      </c>
      <c r="D81" s="148">
        <f t="shared" si="9"/>
        <v>3162899.1167913172</v>
      </c>
      <c r="E81" s="43">
        <f t="shared" si="7"/>
        <v>0.14000000000000001</v>
      </c>
      <c r="F81" s="43">
        <f t="shared" si="8"/>
        <v>46</v>
      </c>
      <c r="G81" s="153"/>
      <c r="H81" s="153"/>
      <c r="I81" s="153"/>
    </row>
    <row r="82" spans="1:9">
      <c r="A82" s="148">
        <f t="shared" si="10"/>
        <v>90743.915295312036</v>
      </c>
      <c r="B82" s="148">
        <f t="shared" si="11"/>
        <v>36900.489695898701</v>
      </c>
      <c r="C82" s="148">
        <f t="shared" si="6"/>
        <v>53843.425599413335</v>
      </c>
      <c r="D82" s="148">
        <f t="shared" si="9"/>
        <v>3109055.6911919038</v>
      </c>
      <c r="E82" s="43">
        <f t="shared" si="7"/>
        <v>0.14000000000000001</v>
      </c>
      <c r="F82" s="43">
        <f t="shared" si="8"/>
        <v>45</v>
      </c>
      <c r="G82" s="153"/>
      <c r="H82" s="153"/>
      <c r="I82" s="153"/>
    </row>
    <row r="83" spans="1:9">
      <c r="A83" s="148">
        <f t="shared" si="10"/>
        <v>90743.915295312036</v>
      </c>
      <c r="B83" s="148">
        <f t="shared" si="11"/>
        <v>36272.316397238879</v>
      </c>
      <c r="C83" s="148">
        <f t="shared" si="6"/>
        <v>54471.598898073156</v>
      </c>
      <c r="D83" s="148">
        <f t="shared" si="9"/>
        <v>3054584.0922938306</v>
      </c>
      <c r="E83" s="43">
        <f t="shared" si="7"/>
        <v>0.14000000000000001</v>
      </c>
      <c r="F83" s="43">
        <f t="shared" si="8"/>
        <v>44</v>
      </c>
      <c r="G83" s="153"/>
      <c r="H83" s="153"/>
      <c r="I83" s="153"/>
    </row>
    <row r="84" spans="1:9">
      <c r="A84" s="148">
        <f t="shared" si="10"/>
        <v>90743.915295312036</v>
      </c>
      <c r="B84" s="148">
        <f t="shared" si="11"/>
        <v>35636.814410094696</v>
      </c>
      <c r="C84" s="148">
        <f t="shared" si="6"/>
        <v>55107.10088521734</v>
      </c>
      <c r="D84" s="148">
        <f t="shared" si="9"/>
        <v>2999476.991408613</v>
      </c>
      <c r="E84" s="43">
        <f t="shared" si="7"/>
        <v>0.14000000000000001</v>
      </c>
      <c r="F84" s="43">
        <f t="shared" si="8"/>
        <v>43</v>
      </c>
      <c r="G84" s="153"/>
      <c r="H84" s="153"/>
      <c r="I84" s="153"/>
    </row>
    <row r="85" spans="1:9">
      <c r="A85" s="148">
        <f t="shared" si="10"/>
        <v>90743.915295312036</v>
      </c>
      <c r="B85" s="148">
        <f t="shared" si="11"/>
        <v>34993.898233100488</v>
      </c>
      <c r="C85" s="148">
        <f t="shared" si="6"/>
        <v>55750.017062211547</v>
      </c>
      <c r="D85" s="148">
        <f t="shared" si="9"/>
        <v>2943726.9743464016</v>
      </c>
      <c r="E85" s="43">
        <f t="shared" si="7"/>
        <v>0.14000000000000001</v>
      </c>
      <c r="F85" s="43">
        <f t="shared" si="8"/>
        <v>42</v>
      </c>
      <c r="G85" s="153"/>
      <c r="H85" s="153"/>
      <c r="I85" s="153"/>
    </row>
    <row r="86" spans="1:9">
      <c r="A86" s="148">
        <f t="shared" si="10"/>
        <v>90743.915295312036</v>
      </c>
      <c r="B86" s="148">
        <f t="shared" si="11"/>
        <v>34343.48136737469</v>
      </c>
      <c r="C86" s="148">
        <f t="shared" si="6"/>
        <v>56400.433927937345</v>
      </c>
      <c r="D86" s="148">
        <f t="shared" si="9"/>
        <v>2887326.5404184642</v>
      </c>
      <c r="E86" s="43">
        <f t="shared" si="7"/>
        <v>0.14000000000000001</v>
      </c>
      <c r="F86" s="43">
        <f t="shared" si="8"/>
        <v>41</v>
      </c>
      <c r="G86" s="153"/>
      <c r="H86" s="153"/>
      <c r="I86" s="153"/>
    </row>
    <row r="87" spans="1:9">
      <c r="A87" s="148">
        <f t="shared" si="10"/>
        <v>90743.915295312036</v>
      </c>
      <c r="B87" s="148">
        <f t="shared" si="11"/>
        <v>33685.476304882082</v>
      </c>
      <c r="C87" s="148">
        <f t="shared" si="6"/>
        <v>57058.438990429953</v>
      </c>
      <c r="D87" s="148">
        <f t="shared" si="9"/>
        <v>2830268.1014280342</v>
      </c>
      <c r="E87" s="43">
        <f t="shared" si="7"/>
        <v>0.14000000000000001</v>
      </c>
      <c r="F87" s="43">
        <f t="shared" si="8"/>
        <v>40</v>
      </c>
      <c r="G87" s="153"/>
      <c r="H87" s="153"/>
      <c r="I87" s="153"/>
    </row>
    <row r="88" spans="1:9">
      <c r="A88" s="148">
        <f t="shared" si="10"/>
        <v>90743.915295312036</v>
      </c>
      <c r="B88" s="148">
        <f t="shared" si="11"/>
        <v>33019.794516660404</v>
      </c>
      <c r="C88" s="148">
        <f t="shared" si="6"/>
        <v>57724.120778651632</v>
      </c>
      <c r="D88" s="148">
        <f t="shared" si="9"/>
        <v>2772543.9806493828</v>
      </c>
      <c r="E88" s="43">
        <f t="shared" si="7"/>
        <v>0.14000000000000001</v>
      </c>
      <c r="F88" s="43">
        <f t="shared" si="8"/>
        <v>39</v>
      </c>
      <c r="G88" s="153"/>
      <c r="H88" s="153"/>
      <c r="I88" s="153"/>
    </row>
    <row r="89" spans="1:9">
      <c r="A89" s="148">
        <f t="shared" si="10"/>
        <v>90743.915295312036</v>
      </c>
      <c r="B89" s="148">
        <f t="shared" si="11"/>
        <v>32346.34644090947</v>
      </c>
      <c r="C89" s="148">
        <f t="shared" si="6"/>
        <v>58397.568854402562</v>
      </c>
      <c r="D89" s="148">
        <f t="shared" si="9"/>
        <v>2714146.4117949801</v>
      </c>
      <c r="E89" s="43">
        <f t="shared" si="7"/>
        <v>0.14000000000000001</v>
      </c>
      <c r="F89" s="43">
        <f t="shared" si="8"/>
        <v>38</v>
      </c>
      <c r="G89" s="153"/>
      <c r="H89" s="153"/>
      <c r="I89" s="153"/>
    </row>
    <row r="90" spans="1:9">
      <c r="A90" s="148">
        <f t="shared" si="10"/>
        <v>90743.915295312036</v>
      </c>
      <c r="B90" s="148">
        <f t="shared" si="11"/>
        <v>31665.041470941436</v>
      </c>
      <c r="C90" s="148">
        <f t="shared" si="6"/>
        <v>59078.873824370603</v>
      </c>
      <c r="D90" s="148">
        <f t="shared" si="9"/>
        <v>2655067.5379706095</v>
      </c>
      <c r="E90" s="43">
        <f t="shared" si="7"/>
        <v>0.14000000000000001</v>
      </c>
      <c r="F90" s="43">
        <f t="shared" si="8"/>
        <v>37</v>
      </c>
      <c r="G90" s="153"/>
      <c r="H90" s="153"/>
      <c r="I90" s="153"/>
    </row>
    <row r="91" spans="1:9">
      <c r="A91" s="148">
        <f t="shared" si="10"/>
        <v>90743.915295312036</v>
      </c>
      <c r="B91" s="148">
        <f t="shared" si="11"/>
        <v>30975.787942990446</v>
      </c>
      <c r="C91" s="148">
        <f t="shared" si="6"/>
        <v>59768.127352321593</v>
      </c>
      <c r="D91" s="148">
        <f t="shared" si="9"/>
        <v>2595299.410618288</v>
      </c>
      <c r="E91" s="43">
        <f t="shared" si="7"/>
        <v>0.14000000000000001</v>
      </c>
      <c r="F91" s="43">
        <f t="shared" si="8"/>
        <v>36</v>
      </c>
      <c r="G91" s="153"/>
      <c r="H91" s="153"/>
      <c r="I91" s="153"/>
    </row>
    <row r="92" spans="1:9">
      <c r="A92" s="148">
        <f t="shared" si="10"/>
        <v>90743.915295312036</v>
      </c>
      <c r="B92" s="148">
        <f t="shared" si="11"/>
        <v>30278.493123880031</v>
      </c>
      <c r="C92" s="148">
        <f t="shared" si="6"/>
        <v>60465.422171432001</v>
      </c>
      <c r="D92" s="148">
        <f t="shared" si="9"/>
        <v>2534833.9884468559</v>
      </c>
      <c r="E92" s="43">
        <f t="shared" si="7"/>
        <v>0.14000000000000001</v>
      </c>
      <c r="F92" s="43">
        <f t="shared" si="8"/>
        <v>35</v>
      </c>
      <c r="G92" s="153"/>
      <c r="H92" s="153"/>
      <c r="I92" s="153"/>
    </row>
    <row r="93" spans="1:9">
      <c r="A93" s="148">
        <f t="shared" si="10"/>
        <v>90743.915295312036</v>
      </c>
      <c r="B93" s="148">
        <f t="shared" si="11"/>
        <v>29573.063198546657</v>
      </c>
      <c r="C93" s="148">
        <f t="shared" si="6"/>
        <v>61170.852096765375</v>
      </c>
      <c r="D93" s="148">
        <f t="shared" si="9"/>
        <v>2473663.1363500906</v>
      </c>
      <c r="E93" s="43">
        <f t="shared" si="7"/>
        <v>0.14000000000000001</v>
      </c>
      <c r="F93" s="43">
        <f t="shared" si="8"/>
        <v>34</v>
      </c>
      <c r="G93" s="153"/>
      <c r="H93" s="153"/>
      <c r="I93" s="153"/>
    </row>
    <row r="94" spans="1:9">
      <c r="A94" s="148">
        <f t="shared" si="10"/>
        <v>90743.915295312036</v>
      </c>
      <c r="B94" s="148">
        <f t="shared" si="11"/>
        <v>28859.403257417725</v>
      </c>
      <c r="C94" s="148">
        <f t="shared" si="6"/>
        <v>61884.51203789431</v>
      </c>
      <c r="D94" s="148">
        <f t="shared" si="9"/>
        <v>2411778.6243121964</v>
      </c>
      <c r="E94" s="43">
        <f t="shared" si="7"/>
        <v>0.14000000000000001</v>
      </c>
      <c r="F94" s="43">
        <f t="shared" si="8"/>
        <v>33</v>
      </c>
      <c r="G94" s="153"/>
      <c r="H94" s="153"/>
      <c r="I94" s="153"/>
    </row>
    <row r="95" spans="1:9">
      <c r="A95" s="148">
        <f t="shared" si="10"/>
        <v>90743.915295312036</v>
      </c>
      <c r="B95" s="148">
        <f t="shared" si="11"/>
        <v>28137.417283642295</v>
      </c>
      <c r="C95" s="148">
        <f t="shared" si="6"/>
        <v>62606.498011669741</v>
      </c>
      <c r="D95" s="148">
        <f t="shared" si="9"/>
        <v>2349172.1263005268</v>
      </c>
      <c r="E95" s="43">
        <f t="shared" si="7"/>
        <v>0.14000000000000001</v>
      </c>
      <c r="F95" s="43">
        <f t="shared" si="8"/>
        <v>32</v>
      </c>
      <c r="G95" s="153"/>
      <c r="H95" s="153"/>
      <c r="I95" s="153"/>
    </row>
    <row r="96" spans="1:9">
      <c r="A96" s="148">
        <f t="shared" si="10"/>
        <v>90743.915295312036</v>
      </c>
      <c r="B96" s="148">
        <f t="shared" si="11"/>
        <v>27407.008140172813</v>
      </c>
      <c r="C96" s="148">
        <f t="shared" si="6"/>
        <v>63336.907155139226</v>
      </c>
      <c r="D96" s="148">
        <f t="shared" si="9"/>
        <v>2285835.2191453874</v>
      </c>
      <c r="E96" s="43">
        <f t="shared" si="7"/>
        <v>0.14000000000000001</v>
      </c>
      <c r="F96" s="43">
        <f t="shared" si="8"/>
        <v>31</v>
      </c>
      <c r="G96" s="153"/>
      <c r="H96" s="153"/>
      <c r="I96" s="153"/>
    </row>
    <row r="97" spans="1:9">
      <c r="A97" s="148">
        <f t="shared" si="10"/>
        <v>90743.915295312036</v>
      </c>
      <c r="B97" s="148">
        <f t="shared" si="11"/>
        <v>26668.077556696186</v>
      </c>
      <c r="C97" s="148">
        <f t="shared" si="6"/>
        <v>64075.837738615854</v>
      </c>
      <c r="D97" s="148">
        <f t="shared" si="9"/>
        <v>2221759.3814067715</v>
      </c>
      <c r="E97" s="43">
        <f t="shared" si="7"/>
        <v>0.14000000000000001</v>
      </c>
      <c r="F97" s="43">
        <f t="shared" si="8"/>
        <v>30</v>
      </c>
      <c r="G97" s="153"/>
      <c r="H97" s="153"/>
      <c r="I97" s="153"/>
    </row>
    <row r="98" spans="1:9">
      <c r="A98" s="148">
        <f t="shared" si="10"/>
        <v>90743.915295312036</v>
      </c>
      <c r="B98" s="148">
        <f t="shared" si="11"/>
        <v>25920.526116412337</v>
      </c>
      <c r="C98" s="148">
        <f t="shared" si="6"/>
        <v>64823.389178899699</v>
      </c>
      <c r="D98" s="148">
        <f t="shared" si="9"/>
        <v>2156935.9922278719</v>
      </c>
      <c r="E98" s="43">
        <f t="shared" si="7"/>
        <v>0.14000000000000001</v>
      </c>
      <c r="F98" s="43">
        <f t="shared" si="8"/>
        <v>29</v>
      </c>
      <c r="G98" s="153"/>
      <c r="H98" s="153"/>
      <c r="I98" s="153"/>
    </row>
    <row r="99" spans="1:9">
      <c r="A99" s="148">
        <f t="shared" si="10"/>
        <v>90743.915295312036</v>
      </c>
      <c r="B99" s="148">
        <f t="shared" si="11"/>
        <v>25164.253242658509</v>
      </c>
      <c r="C99" s="148">
        <f t="shared" si="6"/>
        <v>65579.662052653526</v>
      </c>
      <c r="D99" s="148">
        <f t="shared" si="9"/>
        <v>2091356.3301752184</v>
      </c>
      <c r="E99" s="43">
        <f t="shared" si="7"/>
        <v>0.14000000000000001</v>
      </c>
      <c r="F99" s="43">
        <f t="shared" si="8"/>
        <v>28</v>
      </c>
      <c r="G99" s="153"/>
      <c r="H99" s="153"/>
      <c r="I99" s="153"/>
    </row>
    <row r="100" spans="1:9">
      <c r="A100" s="148">
        <f t="shared" si="10"/>
        <v>90743.915295312036</v>
      </c>
      <c r="B100" s="148">
        <f t="shared" si="11"/>
        <v>24399.157185377549</v>
      </c>
      <c r="C100" s="148">
        <f t="shared" si="6"/>
        <v>66344.758109934482</v>
      </c>
      <c r="D100" s="148">
        <f t="shared" si="9"/>
        <v>2025011.572065284</v>
      </c>
      <c r="E100" s="43">
        <f t="shared" si="7"/>
        <v>0.14000000000000001</v>
      </c>
      <c r="F100" s="43">
        <f t="shared" si="8"/>
        <v>27</v>
      </c>
      <c r="G100" s="153"/>
      <c r="H100" s="153"/>
      <c r="I100" s="153"/>
    </row>
    <row r="101" spans="1:9">
      <c r="A101" s="148">
        <f t="shared" si="10"/>
        <v>90743.915295312036</v>
      </c>
      <c r="B101" s="148">
        <f t="shared" si="11"/>
        <v>23625.135007428315</v>
      </c>
      <c r="C101" s="148">
        <f t="shared" si="6"/>
        <v>67118.780287883725</v>
      </c>
      <c r="D101" s="148">
        <f t="shared" si="9"/>
        <v>1957892.7917774003</v>
      </c>
      <c r="E101" s="43">
        <f t="shared" si="7"/>
        <v>0.14000000000000001</v>
      </c>
      <c r="F101" s="43">
        <f t="shared" si="8"/>
        <v>26</v>
      </c>
      <c r="G101" s="153"/>
      <c r="H101" s="153"/>
      <c r="I101" s="153"/>
    </row>
    <row r="102" spans="1:9">
      <c r="A102" s="148">
        <f t="shared" si="10"/>
        <v>90743.915295312036</v>
      </c>
      <c r="B102" s="148">
        <f t="shared" si="11"/>
        <v>22842.08257073634</v>
      </c>
      <c r="C102" s="148">
        <f t="shared" si="6"/>
        <v>67901.832724575695</v>
      </c>
      <c r="D102" s="148">
        <f t="shared" si="9"/>
        <v>1889990.9590528246</v>
      </c>
      <c r="E102" s="43">
        <f t="shared" si="7"/>
        <v>0.14000000000000001</v>
      </c>
      <c r="F102" s="43">
        <f t="shared" si="8"/>
        <v>25</v>
      </c>
      <c r="G102" s="153"/>
      <c r="H102" s="153"/>
      <c r="I102" s="153"/>
    </row>
    <row r="103" spans="1:9">
      <c r="A103" s="148">
        <f t="shared" si="10"/>
        <v>90743.915295312036</v>
      </c>
      <c r="B103" s="148">
        <f t="shared" si="11"/>
        <v>22049.894522282953</v>
      </c>
      <c r="C103" s="148">
        <f t="shared" si="6"/>
        <v>68694.020773029086</v>
      </c>
      <c r="D103" s="148">
        <f t="shared" si="9"/>
        <v>1821296.9382797955</v>
      </c>
      <c r="E103" s="43">
        <f t="shared" si="7"/>
        <v>0.14000000000000001</v>
      </c>
      <c r="F103" s="43">
        <f t="shared" si="8"/>
        <v>24</v>
      </c>
      <c r="G103" s="153"/>
      <c r="H103" s="153"/>
      <c r="I103" s="153"/>
    </row>
    <row r="104" spans="1:9">
      <c r="A104" s="148">
        <f t="shared" si="10"/>
        <v>90743.915295312036</v>
      </c>
      <c r="B104" s="148">
        <f t="shared" si="11"/>
        <v>21248.464279930948</v>
      </c>
      <c r="C104" s="148">
        <f t="shared" si="6"/>
        <v>69495.451015381084</v>
      </c>
      <c r="D104" s="148">
        <f t="shared" si="9"/>
        <v>1751801.4872644143</v>
      </c>
      <c r="E104" s="43">
        <f t="shared" si="7"/>
        <v>0.14000000000000001</v>
      </c>
      <c r="F104" s="43">
        <f t="shared" si="8"/>
        <v>23</v>
      </c>
      <c r="G104" s="153"/>
      <c r="H104" s="153"/>
      <c r="I104" s="153"/>
    </row>
    <row r="105" spans="1:9">
      <c r="A105" s="148">
        <f t="shared" si="10"/>
        <v>90743.915295312036</v>
      </c>
      <c r="B105" s="148">
        <f t="shared" si="11"/>
        <v>20437.684018084834</v>
      </c>
      <c r="C105" s="148">
        <f t="shared" si="6"/>
        <v>70306.231277227198</v>
      </c>
      <c r="D105" s="148">
        <f t="shared" si="9"/>
        <v>1681495.2559871871</v>
      </c>
      <c r="E105" s="43">
        <f t="shared" si="7"/>
        <v>0.14000000000000001</v>
      </c>
      <c r="F105" s="43">
        <f t="shared" si="8"/>
        <v>22</v>
      </c>
      <c r="G105" s="153"/>
      <c r="H105" s="153"/>
      <c r="I105" s="153"/>
    </row>
    <row r="106" spans="1:9">
      <c r="A106" s="148">
        <f t="shared" si="10"/>
        <v>90743.915295312036</v>
      </c>
      <c r="B106" s="148">
        <f t="shared" si="11"/>
        <v>19617.444653183851</v>
      </c>
      <c r="C106" s="148">
        <f t="shared" si="6"/>
        <v>71126.470642128188</v>
      </c>
      <c r="D106" s="148">
        <f t="shared" si="9"/>
        <v>1610368.7853450589</v>
      </c>
      <c r="E106" s="43">
        <f t="shared" si="7"/>
        <v>0.14000000000000001</v>
      </c>
      <c r="F106" s="43">
        <f t="shared" si="8"/>
        <v>21</v>
      </c>
      <c r="G106" s="153"/>
      <c r="H106" s="153"/>
      <c r="I106" s="153"/>
    </row>
    <row r="107" spans="1:9">
      <c r="A107" s="148">
        <f t="shared" si="10"/>
        <v>90743.915295312036</v>
      </c>
      <c r="B107" s="148">
        <f t="shared" si="11"/>
        <v>18787.635829025687</v>
      </c>
      <c r="C107" s="148">
        <f t="shared" si="6"/>
        <v>71956.279466286345</v>
      </c>
      <c r="D107" s="148">
        <f t="shared" si="9"/>
        <v>1538412.5058787726</v>
      </c>
      <c r="E107" s="43">
        <f t="shared" si="7"/>
        <v>0.14000000000000001</v>
      </c>
      <c r="F107" s="43">
        <f t="shared" si="8"/>
        <v>20</v>
      </c>
      <c r="G107" s="153"/>
      <c r="H107" s="153"/>
      <c r="I107" s="153"/>
    </row>
    <row r="108" spans="1:9">
      <c r="A108" s="148">
        <f t="shared" si="10"/>
        <v>90743.915295312036</v>
      </c>
      <c r="B108" s="148">
        <f t="shared" si="11"/>
        <v>17948.145901919015</v>
      </c>
      <c r="C108" s="148">
        <f t="shared" si="6"/>
        <v>72795.769393393013</v>
      </c>
      <c r="D108" s="148">
        <f t="shared" si="9"/>
        <v>1465616.7364853795</v>
      </c>
      <c r="E108" s="43">
        <f t="shared" si="7"/>
        <v>0.14000000000000001</v>
      </c>
      <c r="F108" s="43">
        <f t="shared" si="8"/>
        <v>19</v>
      </c>
      <c r="G108" s="153"/>
      <c r="H108" s="153"/>
      <c r="I108" s="153"/>
    </row>
    <row r="109" spans="1:9">
      <c r="A109" s="148">
        <f t="shared" si="10"/>
        <v>90743.915295312036</v>
      </c>
      <c r="B109" s="148">
        <f t="shared" si="11"/>
        <v>17098.861925662761</v>
      </c>
      <c r="C109" s="148">
        <f t="shared" si="6"/>
        <v>73645.053369649278</v>
      </c>
      <c r="D109" s="148">
        <f t="shared" si="9"/>
        <v>1391971.6831157303</v>
      </c>
      <c r="E109" s="43">
        <f t="shared" si="7"/>
        <v>0.14000000000000001</v>
      </c>
      <c r="F109" s="43">
        <f t="shared" si="8"/>
        <v>18</v>
      </c>
      <c r="G109" s="153"/>
      <c r="H109" s="153"/>
      <c r="I109" s="153"/>
    </row>
    <row r="110" spans="1:9">
      <c r="A110" s="148">
        <f t="shared" si="10"/>
        <v>90743.915295312036</v>
      </c>
      <c r="B110" s="148">
        <f t="shared" si="11"/>
        <v>16239.669636350189</v>
      </c>
      <c r="C110" s="148">
        <f t="shared" si="6"/>
        <v>74504.245658961852</v>
      </c>
      <c r="D110" s="148">
        <f t="shared" si="9"/>
        <v>1317467.4374567685</v>
      </c>
      <c r="E110" s="43">
        <f t="shared" si="7"/>
        <v>0.14000000000000001</v>
      </c>
      <c r="F110" s="43">
        <f t="shared" si="8"/>
        <v>17</v>
      </c>
      <c r="G110" s="153"/>
      <c r="H110" s="153"/>
      <c r="I110" s="153"/>
    </row>
    <row r="111" spans="1:9">
      <c r="A111" s="148">
        <f t="shared" si="10"/>
        <v>90743.915295312036</v>
      </c>
      <c r="B111" s="148">
        <f t="shared" si="11"/>
        <v>15370.453436995633</v>
      </c>
      <c r="C111" s="148">
        <f t="shared" si="6"/>
        <v>75373.461858316397</v>
      </c>
      <c r="D111" s="148">
        <f t="shared" si="9"/>
        <v>1242093.9755984521</v>
      </c>
      <c r="E111" s="43">
        <f t="shared" si="7"/>
        <v>0.14000000000000001</v>
      </c>
      <c r="F111" s="43">
        <f t="shared" si="8"/>
        <v>16</v>
      </c>
      <c r="G111" s="153"/>
      <c r="H111" s="153"/>
      <c r="I111" s="153"/>
    </row>
    <row r="112" spans="1:9">
      <c r="A112" s="148">
        <f t="shared" si="10"/>
        <v>90743.915295312036</v>
      </c>
      <c r="B112" s="148">
        <f t="shared" si="11"/>
        <v>14491.096381981943</v>
      </c>
      <c r="C112" s="148">
        <f t="shared" si="6"/>
        <v>76252.818913330091</v>
      </c>
      <c r="D112" s="148">
        <f t="shared" si="9"/>
        <v>1165841.1566851221</v>
      </c>
      <c r="E112" s="43">
        <f t="shared" si="7"/>
        <v>0.14000000000000001</v>
      </c>
      <c r="F112" s="43">
        <f t="shared" si="8"/>
        <v>15</v>
      </c>
      <c r="G112" s="153"/>
      <c r="H112" s="153"/>
      <c r="I112" s="153"/>
    </row>
    <row r="113" spans="1:9">
      <c r="A113" s="148">
        <f t="shared" si="10"/>
        <v>90743.915295312036</v>
      </c>
      <c r="B113" s="148">
        <f t="shared" si="11"/>
        <v>13601.480161326426</v>
      </c>
      <c r="C113" s="148">
        <f t="shared" si="6"/>
        <v>77142.435133985608</v>
      </c>
      <c r="D113" s="148">
        <f t="shared" si="9"/>
        <v>1088698.7215511363</v>
      </c>
      <c r="E113" s="43">
        <f t="shared" si="7"/>
        <v>0.14000000000000001</v>
      </c>
      <c r="F113" s="43">
        <f t="shared" si="8"/>
        <v>14</v>
      </c>
      <c r="G113" s="153"/>
      <c r="H113" s="153"/>
      <c r="I113" s="153"/>
    </row>
    <row r="114" spans="1:9">
      <c r="A114" s="148">
        <f t="shared" si="10"/>
        <v>90743.915295312036</v>
      </c>
      <c r="B114" s="148">
        <f t="shared" si="11"/>
        <v>12701.485084763257</v>
      </c>
      <c r="C114" s="148">
        <f t="shared" si="6"/>
        <v>78042.430210548773</v>
      </c>
      <c r="D114" s="148">
        <f t="shared" si="9"/>
        <v>1010656.2913405875</v>
      </c>
      <c r="E114" s="43">
        <f t="shared" si="7"/>
        <v>0.14000000000000001</v>
      </c>
      <c r="F114" s="43">
        <f t="shared" si="8"/>
        <v>13</v>
      </c>
      <c r="G114" s="153"/>
      <c r="H114" s="153"/>
      <c r="I114" s="153"/>
    </row>
    <row r="115" spans="1:9">
      <c r="A115" s="148">
        <f t="shared" si="10"/>
        <v>90743.915295312036</v>
      </c>
      <c r="B115" s="148">
        <f t="shared" si="11"/>
        <v>11790.99006564019</v>
      </c>
      <c r="C115" s="148">
        <f t="shared" si="6"/>
        <v>78952.925229671848</v>
      </c>
      <c r="D115" s="148">
        <f t="shared" si="9"/>
        <v>931703.36611091567</v>
      </c>
      <c r="E115" s="43">
        <f t="shared" si="7"/>
        <v>0.14000000000000001</v>
      </c>
      <c r="F115" s="43">
        <f t="shared" si="8"/>
        <v>12</v>
      </c>
      <c r="G115" s="153"/>
      <c r="H115" s="153"/>
      <c r="I115" s="153"/>
    </row>
    <row r="116" spans="1:9">
      <c r="A116" s="148">
        <f t="shared" si="10"/>
        <v>90743.915295312036</v>
      </c>
      <c r="B116" s="148">
        <f t="shared" si="11"/>
        <v>10869.87260462735</v>
      </c>
      <c r="C116" s="148">
        <f t="shared" si="6"/>
        <v>79874.042690684684</v>
      </c>
      <c r="D116" s="148">
        <f t="shared" si="9"/>
        <v>851829.323420231</v>
      </c>
      <c r="E116" s="43">
        <f t="shared" si="7"/>
        <v>0.14000000000000001</v>
      </c>
      <c r="F116" s="43">
        <f t="shared" si="8"/>
        <v>11</v>
      </c>
      <c r="G116" s="153"/>
      <c r="H116" s="153"/>
      <c r="I116" s="153"/>
    </row>
    <row r="117" spans="1:9">
      <c r="A117" s="148">
        <f t="shared" si="10"/>
        <v>90743.915295312036</v>
      </c>
      <c r="B117" s="148">
        <f t="shared" si="11"/>
        <v>9938.0087732360298</v>
      </c>
      <c r="C117" s="148">
        <f t="shared" si="6"/>
        <v>80805.906522076009</v>
      </c>
      <c r="D117" s="148">
        <f t="shared" si="9"/>
        <v>771023.416898155</v>
      </c>
      <c r="E117" s="43">
        <f t="shared" si="7"/>
        <v>0.14000000000000001</v>
      </c>
      <c r="F117" s="43">
        <f t="shared" si="8"/>
        <v>10</v>
      </c>
      <c r="G117" s="153"/>
      <c r="H117" s="153"/>
      <c r="I117" s="153"/>
    </row>
    <row r="118" spans="1:9">
      <c r="A118" s="148">
        <v>25053</v>
      </c>
      <c r="B118" s="148">
        <f t="shared" si="11"/>
        <v>8995.2731971451431</v>
      </c>
      <c r="C118" s="148">
        <f t="shared" si="6"/>
        <v>16057.726802854857</v>
      </c>
      <c r="D118" s="148">
        <f t="shared" si="9"/>
        <v>754965.69009530009</v>
      </c>
      <c r="E118" s="43">
        <f t="shared" si="7"/>
        <v>0.14000000000000001</v>
      </c>
      <c r="F118" s="43">
        <f t="shared" si="8"/>
        <v>9</v>
      </c>
      <c r="G118" s="153"/>
      <c r="H118" s="153"/>
      <c r="I118" s="153"/>
    </row>
    <row r="119" spans="1:9">
      <c r="A119" s="148">
        <v>25053</v>
      </c>
      <c r="B119" s="148">
        <f t="shared" si="11"/>
        <v>8807.9330511118351</v>
      </c>
      <c r="C119" s="148">
        <f t="shared" si="6"/>
        <v>16245.066948888165</v>
      </c>
      <c r="D119" s="148">
        <f t="shared" si="9"/>
        <v>738720.62314641196</v>
      </c>
      <c r="E119" s="43">
        <f t="shared" si="7"/>
        <v>0.14000000000000001</v>
      </c>
      <c r="F119" s="43">
        <f t="shared" si="8"/>
        <v>8</v>
      </c>
      <c r="G119" s="153"/>
      <c r="H119" s="153"/>
      <c r="I119" s="153"/>
    </row>
    <row r="120" spans="1:9">
      <c r="A120" s="148">
        <v>25053</v>
      </c>
      <c r="B120" s="148">
        <f t="shared" si="11"/>
        <v>8618.4072700414745</v>
      </c>
      <c r="C120" s="148">
        <f t="shared" si="6"/>
        <v>16434.592729958524</v>
      </c>
      <c r="D120" s="148">
        <f t="shared" si="9"/>
        <v>722286.03041645349</v>
      </c>
      <c r="E120" s="43">
        <f t="shared" si="7"/>
        <v>0.14000000000000001</v>
      </c>
      <c r="F120" s="43">
        <f t="shared" si="8"/>
        <v>7</v>
      </c>
      <c r="G120" s="153"/>
      <c r="H120" s="153"/>
      <c r="I120" s="153"/>
    </row>
    <row r="121" spans="1:9">
      <c r="A121" s="148">
        <v>25053</v>
      </c>
      <c r="B121" s="148">
        <f t="shared" si="11"/>
        <v>8426.6703548586247</v>
      </c>
      <c r="C121" s="148">
        <f t="shared" si="6"/>
        <v>16626.329645141377</v>
      </c>
      <c r="D121" s="148">
        <f t="shared" si="9"/>
        <v>705659.70077131211</v>
      </c>
      <c r="E121" s="43">
        <f t="shared" si="7"/>
        <v>0.14000000000000001</v>
      </c>
      <c r="F121" s="43">
        <f t="shared" si="8"/>
        <v>6</v>
      </c>
      <c r="G121" s="153"/>
      <c r="H121" s="153"/>
      <c r="I121" s="153"/>
    </row>
    <row r="122" spans="1:9">
      <c r="A122" s="148">
        <v>25053</v>
      </c>
      <c r="B122" s="148">
        <f t="shared" si="11"/>
        <v>8232.6965089986425</v>
      </c>
      <c r="C122" s="148">
        <f t="shared" si="6"/>
        <v>16820.303491001359</v>
      </c>
      <c r="D122" s="148">
        <f t="shared" si="9"/>
        <v>688839.39728031075</v>
      </c>
      <c r="E122" s="43">
        <f t="shared" si="7"/>
        <v>0.14000000000000001</v>
      </c>
      <c r="F122" s="43">
        <f t="shared" si="8"/>
        <v>5</v>
      </c>
      <c r="G122" s="153"/>
      <c r="H122" s="153"/>
      <c r="I122" s="153"/>
    </row>
    <row r="123" spans="1:9">
      <c r="A123" s="148">
        <v>25053</v>
      </c>
      <c r="B123" s="148">
        <f t="shared" si="11"/>
        <v>8036.4596349369594</v>
      </c>
      <c r="C123" s="148">
        <f t="shared" si="6"/>
        <v>17016.54036506304</v>
      </c>
      <c r="D123" s="148">
        <f t="shared" si="9"/>
        <v>671822.85691524774</v>
      </c>
      <c r="E123" s="43">
        <f t="shared" si="7"/>
        <v>0.14000000000000001</v>
      </c>
      <c r="F123" s="43">
        <f t="shared" si="8"/>
        <v>4</v>
      </c>
      <c r="G123" s="153"/>
      <c r="H123" s="153"/>
      <c r="I123" s="153"/>
    </row>
    <row r="124" spans="1:9">
      <c r="A124" s="148">
        <v>25053</v>
      </c>
      <c r="B124" s="148">
        <f t="shared" si="11"/>
        <v>7837.9333306778908</v>
      </c>
      <c r="C124" s="148">
        <f t="shared" si="6"/>
        <v>17215.06666932211</v>
      </c>
      <c r="D124" s="148">
        <f t="shared" si="9"/>
        <v>654607.79024592566</v>
      </c>
      <c r="E124" s="43">
        <f t="shared" si="7"/>
        <v>0.14000000000000001</v>
      </c>
      <c r="F124" s="43">
        <f t="shared" si="8"/>
        <v>3</v>
      </c>
      <c r="G124" s="153"/>
      <c r="H124" s="153"/>
      <c r="I124" s="153"/>
    </row>
    <row r="125" spans="1:9">
      <c r="A125" s="148">
        <v>25053</v>
      </c>
      <c r="B125" s="148">
        <f t="shared" si="11"/>
        <v>7637.0908862024662</v>
      </c>
      <c r="C125" s="148">
        <f t="shared" si="6"/>
        <v>17415.909113797534</v>
      </c>
      <c r="D125" s="148">
        <f t="shared" si="9"/>
        <v>637191.88113212818</v>
      </c>
      <c r="E125" s="43">
        <f t="shared" si="7"/>
        <v>0.14000000000000001</v>
      </c>
      <c r="F125" s="43">
        <f t="shared" si="8"/>
        <v>2</v>
      </c>
      <c r="G125" s="153"/>
      <c r="H125" s="153"/>
      <c r="I125" s="153"/>
    </row>
    <row r="126" spans="1:9">
      <c r="A126" s="148">
        <v>25053</v>
      </c>
      <c r="B126" s="148">
        <f t="shared" si="11"/>
        <v>7433.9052798748298</v>
      </c>
      <c r="C126" s="148">
        <f t="shared" si="6"/>
        <v>17619.094720125169</v>
      </c>
      <c r="D126" s="148">
        <f t="shared" si="9"/>
        <v>619572.78641200298</v>
      </c>
      <c r="E126" s="43">
        <f t="shared" si="7"/>
        <v>0.14000000000000001</v>
      </c>
      <c r="F126" s="43">
        <f t="shared" si="8"/>
        <v>1</v>
      </c>
      <c r="G126" s="153"/>
      <c r="H126" s="153"/>
      <c r="I126" s="153"/>
    </row>
    <row r="127" spans="1:9">
      <c r="A127" s="148">
        <v>25053</v>
      </c>
      <c r="B127" s="148">
        <f t="shared" si="11"/>
        <v>7228.3491748067026</v>
      </c>
      <c r="C127" s="148">
        <f t="shared" si="6"/>
        <v>17824.650825193297</v>
      </c>
      <c r="D127" s="148">
        <f t="shared" si="9"/>
        <v>601748.13558680972</v>
      </c>
      <c r="E127" s="43">
        <f t="shared" si="7"/>
        <v>0.14000000000000001</v>
      </c>
      <c r="F127" s="43">
        <f t="shared" si="8"/>
        <v>0</v>
      </c>
      <c r="G127" s="153"/>
      <c r="H127" s="153"/>
      <c r="I127" s="153"/>
    </row>
    <row r="128" spans="1:9">
      <c r="A128" s="156"/>
      <c r="B128" s="148"/>
      <c r="C128" s="148"/>
      <c r="D128" s="156"/>
      <c r="E128" s="37"/>
      <c r="F128" s="37"/>
      <c r="G128" s="37"/>
      <c r="H128" s="37"/>
      <c r="I128" s="37"/>
    </row>
    <row r="129" spans="1:9">
      <c r="A129" s="156"/>
      <c r="B129" s="156"/>
      <c r="C129" s="148"/>
      <c r="D129" s="156"/>
      <c r="E129" s="37"/>
      <c r="F129" s="37"/>
      <c r="G129" s="37"/>
      <c r="H129" s="37"/>
      <c r="I129" s="37"/>
    </row>
    <row r="130" spans="1:9">
      <c r="A130" s="156"/>
      <c r="B130" s="156"/>
      <c r="C130" s="148">
        <f t="shared" si="6"/>
        <v>0</v>
      </c>
      <c r="D130" s="156"/>
      <c r="E130" s="37"/>
      <c r="F130" s="37"/>
      <c r="G130" s="37"/>
      <c r="H130" s="37"/>
      <c r="I130" s="37"/>
    </row>
    <row r="131" spans="1:9">
      <c r="A131" s="156">
        <f>SUM(A7:A130)</f>
        <v>10323104.597779647</v>
      </c>
      <c r="B131" s="156"/>
      <c r="C131" s="148">
        <f t="shared" si="6"/>
        <v>10323104.597779647</v>
      </c>
      <c r="D131" s="156"/>
      <c r="E131" s="37"/>
      <c r="F131" s="37"/>
      <c r="G131" s="37"/>
      <c r="H131" s="37"/>
      <c r="I131" s="37"/>
    </row>
    <row r="132" spans="1:9">
      <c r="A132" s="156"/>
      <c r="B132" s="156"/>
      <c r="C132" s="156"/>
      <c r="D132" s="156"/>
      <c r="E132" s="37"/>
      <c r="F132" s="37"/>
      <c r="G132" s="37"/>
      <c r="H132" s="37"/>
      <c r="I132" s="37"/>
    </row>
    <row r="133" spans="1:9">
      <c r="A133" s="156"/>
      <c r="B133" s="156"/>
      <c r="C133" s="156"/>
      <c r="D133" s="156"/>
      <c r="E133" s="37"/>
      <c r="F133" s="37"/>
      <c r="G133" s="37"/>
      <c r="H133" s="37"/>
      <c r="I133" s="37"/>
    </row>
    <row r="139" spans="1:9" ht="12" customHeight="1"/>
  </sheetData>
  <mergeCells count="2">
    <mergeCell ref="A2:F2"/>
    <mergeCell ref="A1:F1"/>
  </mergeCells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98"/>
  <sheetViews>
    <sheetView topLeftCell="B40" zoomScaleNormal="100" workbookViewId="0">
      <selection activeCell="AC37" sqref="AC37"/>
    </sheetView>
  </sheetViews>
  <sheetFormatPr baseColWidth="10" defaultColWidth="8.7265625" defaultRowHeight="14.5"/>
  <cols>
    <col min="2" max="2" width="19.1796875" customWidth="1"/>
    <col min="3" max="3" width="8.453125" style="2" hidden="1" customWidth="1"/>
    <col min="4" max="4" width="10.54296875" hidden="1" customWidth="1"/>
    <col min="5" max="5" width="10.26953125" style="2" hidden="1" customWidth="1"/>
    <col min="6" max="6" width="7.81640625" style="2" hidden="1" customWidth="1"/>
    <col min="7" max="7" width="8.26953125" hidden="1" customWidth="1"/>
    <col min="8" max="8" width="9.453125" hidden="1" customWidth="1"/>
    <col min="9" max="9" width="5" hidden="1" customWidth="1"/>
    <col min="10" max="10" width="5.81640625" hidden="1" customWidth="1"/>
    <col min="11" max="11" width="4.453125" hidden="1" customWidth="1"/>
    <col min="12" max="12" width="16.81640625" hidden="1" customWidth="1"/>
    <col min="13" max="13" width="15.54296875" hidden="1" customWidth="1"/>
    <col min="14" max="14" width="14.7265625" hidden="1" customWidth="1"/>
    <col min="15" max="15" width="14.1796875" hidden="1" customWidth="1"/>
    <col min="16" max="16" width="16.1796875" hidden="1" customWidth="1"/>
    <col min="17" max="17" width="15.54296875" hidden="1" customWidth="1"/>
    <col min="18" max="18" width="14.7265625" hidden="1" customWidth="1"/>
    <col min="19" max="19" width="15.1796875" hidden="1" customWidth="1"/>
    <col min="20" max="20" width="14" hidden="1" customWidth="1"/>
    <col min="21" max="21" width="9.1796875" customWidth="1"/>
    <col min="22" max="22" width="14.36328125" customWidth="1"/>
    <col min="23" max="23" width="1.6328125" hidden="1" customWidth="1"/>
    <col min="24" max="24" width="16.1796875" hidden="1" customWidth="1"/>
    <col min="25" max="25" width="15.6328125" customWidth="1"/>
    <col min="26" max="26" width="16" customWidth="1"/>
    <col min="27" max="27" width="15.36328125" customWidth="1"/>
    <col min="28" max="28" width="18.81640625" customWidth="1"/>
    <col min="29" max="29" width="16.453125" customWidth="1"/>
    <col min="30" max="30" width="20" customWidth="1"/>
    <col min="31" max="31" width="21.26953125" customWidth="1"/>
    <col min="32" max="32" width="11.453125" customWidth="1"/>
  </cols>
  <sheetData>
    <row r="1" spans="1:29">
      <c r="C1" s="198" t="s">
        <v>257</v>
      </c>
      <c r="D1" s="198"/>
      <c r="E1" s="198"/>
      <c r="F1" s="198"/>
      <c r="G1" s="198"/>
      <c r="H1" s="198"/>
      <c r="I1" s="198"/>
    </row>
    <row r="2" spans="1:29" ht="15.5">
      <c r="B2" s="14"/>
      <c r="C2" s="57" t="s">
        <v>258</v>
      </c>
      <c r="D2" s="58" t="s">
        <v>259</v>
      </c>
      <c r="E2" s="57" t="s">
        <v>260</v>
      </c>
      <c r="F2" s="57" t="s">
        <v>261</v>
      </c>
      <c r="G2" s="57" t="s">
        <v>262</v>
      </c>
      <c r="H2" s="59" t="s">
        <v>263</v>
      </c>
      <c r="I2" s="83" t="s">
        <v>264</v>
      </c>
      <c r="J2" s="60" t="s">
        <v>265</v>
      </c>
      <c r="K2" s="60" t="s">
        <v>266</v>
      </c>
      <c r="L2" s="60" t="s">
        <v>267</v>
      </c>
      <c r="M2" s="60" t="s">
        <v>268</v>
      </c>
      <c r="N2" s="60" t="s">
        <v>269</v>
      </c>
      <c r="O2" s="60" t="s">
        <v>258</v>
      </c>
      <c r="P2" s="60" t="s">
        <v>270</v>
      </c>
      <c r="Q2" s="60" t="s">
        <v>271</v>
      </c>
      <c r="R2" s="60" t="s">
        <v>272</v>
      </c>
      <c r="S2" s="60" t="s">
        <v>262</v>
      </c>
      <c r="T2" s="60" t="s">
        <v>273</v>
      </c>
      <c r="U2" s="60" t="s">
        <v>264</v>
      </c>
      <c r="V2" s="60" t="s">
        <v>265</v>
      </c>
      <c r="W2" s="60" t="s">
        <v>266</v>
      </c>
      <c r="X2" s="60" t="s">
        <v>267</v>
      </c>
      <c r="Y2" s="60" t="s">
        <v>268</v>
      </c>
    </row>
    <row r="3" spans="1:29">
      <c r="A3" s="20"/>
      <c r="B3" s="14" t="s">
        <v>274</v>
      </c>
      <c r="C3" s="12"/>
      <c r="D3" s="12">
        <v>50000</v>
      </c>
      <c r="E3" s="12">
        <v>15000</v>
      </c>
      <c r="F3" s="12">
        <v>124000</v>
      </c>
      <c r="G3" s="12">
        <v>34000</v>
      </c>
      <c r="H3" s="12">
        <v>45000</v>
      </c>
      <c r="I3" s="12">
        <v>20000</v>
      </c>
      <c r="J3" s="12">
        <v>10000</v>
      </c>
      <c r="K3" s="12">
        <v>10000</v>
      </c>
      <c r="L3" s="12">
        <v>50000</v>
      </c>
      <c r="M3" s="12">
        <v>115000</v>
      </c>
      <c r="N3" s="12">
        <v>113000</v>
      </c>
      <c r="O3" s="12">
        <v>73000</v>
      </c>
      <c r="P3" s="12">
        <v>54000</v>
      </c>
      <c r="Q3" s="12">
        <v>4000</v>
      </c>
      <c r="R3" s="12">
        <v>16000</v>
      </c>
      <c r="S3" s="12">
        <v>16000</v>
      </c>
      <c r="T3" s="12">
        <v>40000</v>
      </c>
      <c r="U3" s="12">
        <v>40000</v>
      </c>
      <c r="V3" s="12">
        <v>50000</v>
      </c>
      <c r="W3" s="12">
        <v>20000</v>
      </c>
      <c r="X3" s="12">
        <v>20000</v>
      </c>
      <c r="Y3" s="12">
        <v>20000</v>
      </c>
    </row>
    <row r="4" spans="1:29">
      <c r="A4" s="20"/>
      <c r="B4" s="14" t="s">
        <v>275</v>
      </c>
      <c r="C4" s="12"/>
      <c r="D4" s="12">
        <v>20000</v>
      </c>
      <c r="E4" s="12">
        <v>105000</v>
      </c>
      <c r="F4" s="12">
        <v>225000</v>
      </c>
      <c r="G4" s="12">
        <v>66000</v>
      </c>
      <c r="H4" s="12">
        <v>85000</v>
      </c>
      <c r="I4" s="12">
        <v>44000</v>
      </c>
      <c r="J4" s="12">
        <v>50000</v>
      </c>
      <c r="K4" s="12">
        <v>50000</v>
      </c>
      <c r="L4" s="12">
        <v>178000</v>
      </c>
      <c r="M4" s="12">
        <v>221000</v>
      </c>
      <c r="N4" s="12">
        <v>217000</v>
      </c>
      <c r="O4" s="12">
        <v>127000</v>
      </c>
      <c r="P4" s="12">
        <v>183000</v>
      </c>
      <c r="Q4" s="12">
        <v>74300</v>
      </c>
      <c r="R4" s="12">
        <v>87000</v>
      </c>
      <c r="S4" s="12">
        <v>87000</v>
      </c>
      <c r="T4" s="12">
        <v>145000</v>
      </c>
      <c r="U4" s="12">
        <v>116000</v>
      </c>
      <c r="V4" s="12">
        <v>23000</v>
      </c>
      <c r="W4" s="12">
        <v>50000</v>
      </c>
      <c r="X4" s="12">
        <v>30000</v>
      </c>
      <c r="Y4" s="12">
        <v>30000</v>
      </c>
    </row>
    <row r="5" spans="1:29">
      <c r="A5" s="20"/>
      <c r="B5" s="14" t="s">
        <v>276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>
        <v>25000</v>
      </c>
      <c r="U5" s="12">
        <v>25000</v>
      </c>
      <c r="V5" s="12">
        <v>25000</v>
      </c>
      <c r="W5" s="12">
        <v>116811</v>
      </c>
      <c r="X5" s="12">
        <v>20000</v>
      </c>
      <c r="Y5" s="12">
        <v>20000</v>
      </c>
      <c r="Z5" t="s">
        <v>277</v>
      </c>
    </row>
    <row r="6" spans="1:29">
      <c r="A6" s="20"/>
      <c r="B6" s="14" t="s">
        <v>278</v>
      </c>
      <c r="C6" s="12"/>
      <c r="D6" s="14"/>
      <c r="E6" s="12">
        <v>45363</v>
      </c>
      <c r="F6" s="12">
        <v>33462</v>
      </c>
      <c r="G6" s="12">
        <v>33462</v>
      </c>
      <c r="H6" s="12">
        <v>29431</v>
      </c>
      <c r="I6" s="12">
        <v>27795</v>
      </c>
      <c r="J6" s="12">
        <v>27573</v>
      </c>
      <c r="K6" s="12">
        <v>25979</v>
      </c>
      <c r="L6" s="12">
        <v>20163</v>
      </c>
      <c r="M6" s="12">
        <v>69744</v>
      </c>
      <c r="N6" s="12">
        <v>24747</v>
      </c>
      <c r="O6" s="12">
        <v>19749.36</v>
      </c>
      <c r="P6" s="12">
        <v>7749.36</v>
      </c>
      <c r="Q6" s="12">
        <v>7750</v>
      </c>
      <c r="R6" s="12">
        <v>48500</v>
      </c>
      <c r="S6" s="12">
        <v>48500</v>
      </c>
      <c r="T6" s="12">
        <v>41500</v>
      </c>
      <c r="U6" s="12">
        <v>20000</v>
      </c>
      <c r="V6" s="12">
        <v>20000</v>
      </c>
      <c r="W6" s="12">
        <v>20500</v>
      </c>
      <c r="X6" s="12">
        <v>20500</v>
      </c>
      <c r="Y6" s="12">
        <v>20500</v>
      </c>
    </row>
    <row r="7" spans="1:29">
      <c r="A7" s="20"/>
      <c r="B7" s="14" t="s">
        <v>279</v>
      </c>
      <c r="C7" s="12"/>
      <c r="D7" s="12">
        <f>25*54.1</f>
        <v>1352.5</v>
      </c>
      <c r="E7" s="12">
        <v>1352</v>
      </c>
      <c r="F7" s="12">
        <v>2287</v>
      </c>
      <c r="G7" s="12">
        <v>17</v>
      </c>
      <c r="H7" s="12">
        <v>1147</v>
      </c>
      <c r="I7" s="12">
        <v>828</v>
      </c>
      <c r="J7" s="12">
        <v>0</v>
      </c>
      <c r="K7" s="12">
        <v>1200</v>
      </c>
      <c r="L7" s="12">
        <v>7.48</v>
      </c>
      <c r="M7" s="12">
        <v>1230</v>
      </c>
      <c r="N7" s="12">
        <v>1329</v>
      </c>
      <c r="O7" s="12">
        <v>2590</v>
      </c>
      <c r="P7" s="12">
        <v>3851</v>
      </c>
      <c r="Q7" s="12">
        <v>5112</v>
      </c>
      <c r="R7" s="12">
        <v>2200</v>
      </c>
      <c r="S7" s="12">
        <v>24</v>
      </c>
      <c r="T7" s="12">
        <v>1264</v>
      </c>
      <c r="U7" s="12">
        <v>2700</v>
      </c>
      <c r="V7" s="12">
        <v>3500</v>
      </c>
      <c r="W7" s="12">
        <v>1300</v>
      </c>
      <c r="X7" s="12">
        <v>300</v>
      </c>
      <c r="Y7" s="12">
        <v>300</v>
      </c>
    </row>
    <row r="8" spans="1:29">
      <c r="A8" s="20"/>
      <c r="B8" s="14" t="s">
        <v>280</v>
      </c>
      <c r="C8" s="12"/>
      <c r="D8" s="12">
        <v>7500</v>
      </c>
      <c r="E8" s="12">
        <v>4500</v>
      </c>
      <c r="F8" s="12">
        <v>4375</v>
      </c>
      <c r="G8" s="12">
        <v>1045</v>
      </c>
      <c r="H8" s="12">
        <v>150</v>
      </c>
      <c r="I8" s="12">
        <v>2000</v>
      </c>
      <c r="J8" s="61">
        <v>1133</v>
      </c>
      <c r="K8" s="61">
        <v>333</v>
      </c>
      <c r="L8" s="61">
        <v>1413</v>
      </c>
      <c r="M8" s="61">
        <v>640</v>
      </c>
      <c r="N8" s="61">
        <v>640</v>
      </c>
      <c r="O8" s="61">
        <v>2266</v>
      </c>
      <c r="P8" s="61">
        <v>1546</v>
      </c>
      <c r="Q8" s="61">
        <v>1226</v>
      </c>
      <c r="R8" s="61">
        <v>500</v>
      </c>
      <c r="S8" s="61">
        <v>240</v>
      </c>
      <c r="T8" s="61">
        <v>300</v>
      </c>
      <c r="U8" s="61">
        <v>4200</v>
      </c>
      <c r="V8" s="61">
        <v>300</v>
      </c>
      <c r="W8" s="61">
        <v>600</v>
      </c>
      <c r="X8" s="61">
        <v>200</v>
      </c>
      <c r="Y8" s="61">
        <v>200</v>
      </c>
    </row>
    <row r="9" spans="1:29">
      <c r="A9" s="20"/>
      <c r="B9" s="14" t="s">
        <v>281</v>
      </c>
      <c r="C9" s="12"/>
      <c r="D9" s="12"/>
      <c r="E9" s="12"/>
      <c r="F9" s="12"/>
      <c r="G9" s="12"/>
      <c r="H9" s="12"/>
      <c r="I9" s="14"/>
      <c r="J9" s="14"/>
      <c r="K9" s="14"/>
      <c r="L9" s="14"/>
      <c r="M9" s="14"/>
      <c r="N9" s="22" t="e">
        <f>+N6+#REF!+#REF!+N7+N8</f>
        <v>#REF!</v>
      </c>
      <c r="O9" s="22" t="e">
        <f>+O6+#REF!+#REF!+O7+O8</f>
        <v>#REF!</v>
      </c>
      <c r="P9" s="22" t="e">
        <f>+P6+#REF!+#REF!+P7+P8</f>
        <v>#REF!</v>
      </c>
      <c r="Q9" s="22" t="e">
        <f>+Q6+#REF!+#REF!+Q7+Q8</f>
        <v>#REF!</v>
      </c>
      <c r="R9" s="22" t="e">
        <f>+R6+#REF!+#REF!+R7+R8</f>
        <v>#REF!</v>
      </c>
      <c r="S9" s="22" t="e">
        <f>+S6+#REF!+#REF!+S7+S8</f>
        <v>#REF!</v>
      </c>
      <c r="T9" s="22" t="e">
        <f>+T6+#REF!+#REF!+T7+T8</f>
        <v>#REF!</v>
      </c>
      <c r="U9" s="22">
        <f>+U6+U7+U8</f>
        <v>26900</v>
      </c>
      <c r="V9" s="22">
        <f>+V6+V7+V8</f>
        <v>23800</v>
      </c>
      <c r="W9" s="22">
        <f>+W6+W7+W8</f>
        <v>22400</v>
      </c>
      <c r="X9" s="22">
        <f>+X6+X7+X8</f>
        <v>21000</v>
      </c>
      <c r="Y9" s="22">
        <f>+Y6+Y7+Y8</f>
        <v>21000</v>
      </c>
    </row>
    <row r="10" spans="1:29">
      <c r="A10" s="20"/>
      <c r="B10" s="14"/>
      <c r="C10" s="12"/>
      <c r="D10" s="12">
        <f>+D17*54.35</f>
        <v>481133.375</v>
      </c>
      <c r="E10" s="12">
        <f>+E17*54.35</f>
        <v>2783535.25</v>
      </c>
      <c r="F10" s="12">
        <f>+F17*55</f>
        <v>2206820</v>
      </c>
      <c r="G10" s="12">
        <f>+G17*55.6</f>
        <v>1919534.4000000001</v>
      </c>
      <c r="H10" s="12">
        <f>+H17*55.6</f>
        <v>1708476.8</v>
      </c>
      <c r="I10" s="12">
        <f>+I17*55.6</f>
        <v>1702638.8</v>
      </c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</row>
    <row r="11" spans="1:29">
      <c r="A11" s="20"/>
      <c r="B11" s="14" t="s">
        <v>282</v>
      </c>
      <c r="C11" s="12"/>
      <c r="D11" s="12">
        <f t="shared" ref="D11:I11" si="0">SUM(D3:D4)</f>
        <v>70000</v>
      </c>
      <c r="E11" s="12">
        <f t="shared" si="0"/>
        <v>120000</v>
      </c>
      <c r="F11" s="12">
        <f t="shared" si="0"/>
        <v>349000</v>
      </c>
      <c r="G11" s="12">
        <f t="shared" si="0"/>
        <v>100000</v>
      </c>
      <c r="H11" s="12">
        <f t="shared" si="0"/>
        <v>130000</v>
      </c>
      <c r="I11" s="12">
        <f t="shared" si="0"/>
        <v>64000</v>
      </c>
      <c r="J11" s="12">
        <f t="shared" ref="J11:Y11" si="1">+J3+J4</f>
        <v>60000</v>
      </c>
      <c r="K11" s="12">
        <f t="shared" si="1"/>
        <v>60000</v>
      </c>
      <c r="L11" s="12">
        <f t="shared" si="1"/>
        <v>228000</v>
      </c>
      <c r="M11" s="12">
        <f t="shared" si="1"/>
        <v>336000</v>
      </c>
      <c r="N11" s="12">
        <f t="shared" si="1"/>
        <v>330000</v>
      </c>
      <c r="O11" s="12">
        <f t="shared" si="1"/>
        <v>200000</v>
      </c>
      <c r="P11" s="12">
        <f t="shared" si="1"/>
        <v>237000</v>
      </c>
      <c r="Q11" s="12">
        <f t="shared" si="1"/>
        <v>78300</v>
      </c>
      <c r="R11" s="12">
        <f t="shared" si="1"/>
        <v>103000</v>
      </c>
      <c r="S11" s="12">
        <f t="shared" si="1"/>
        <v>103000</v>
      </c>
      <c r="T11" s="12">
        <f t="shared" si="1"/>
        <v>185000</v>
      </c>
      <c r="U11" s="12">
        <f t="shared" si="1"/>
        <v>156000</v>
      </c>
      <c r="V11" s="12">
        <f t="shared" si="1"/>
        <v>73000</v>
      </c>
      <c r="W11" s="12">
        <f t="shared" si="1"/>
        <v>70000</v>
      </c>
      <c r="X11" s="12">
        <f t="shared" si="1"/>
        <v>50000</v>
      </c>
      <c r="Y11" s="12">
        <f t="shared" si="1"/>
        <v>50000</v>
      </c>
    </row>
    <row r="12" spans="1:29">
      <c r="A12" s="20"/>
      <c r="B12" s="14" t="s">
        <v>283</v>
      </c>
      <c r="C12" s="12">
        <v>7500000</v>
      </c>
      <c r="D12" s="12">
        <v>7500000</v>
      </c>
      <c r="E12" s="12">
        <v>7500000</v>
      </c>
      <c r="F12" s="12">
        <v>8000000</v>
      </c>
      <c r="G12" s="12">
        <v>8000000</v>
      </c>
      <c r="H12" s="12">
        <v>8000000</v>
      </c>
      <c r="I12" s="12">
        <v>8000000</v>
      </c>
      <c r="J12" s="12">
        <f>+J19*56</f>
        <v>10077000</v>
      </c>
      <c r="K12" s="12">
        <f>+K19*58</f>
        <v>10471868</v>
      </c>
      <c r="L12" s="12">
        <v>10556000</v>
      </c>
      <c r="M12" s="12">
        <f>10556000+4500+7000</f>
        <v>10567500</v>
      </c>
      <c r="N12" s="12">
        <f>10556000+4500+7000+5000</f>
        <v>10572500</v>
      </c>
      <c r="O12" s="12">
        <f>10556000+4500+7000+10000</f>
        <v>10577500</v>
      </c>
      <c r="P12" s="12">
        <f>10556000+4500+7000+10000+70000</f>
        <v>10647500</v>
      </c>
      <c r="Q12" s="12">
        <f>10556000+4500+7000+10000+70000+5000</f>
        <v>10652500</v>
      </c>
      <c r="R12" s="12">
        <f>10652500+8000</f>
        <v>10660500</v>
      </c>
      <c r="S12" s="12">
        <f>10652500+8000+20000</f>
        <v>10680500</v>
      </c>
      <c r="T12" s="12">
        <f t="shared" ref="T12:Y12" si="2">10652500+8000+10000+300000</f>
        <v>10970500</v>
      </c>
      <c r="U12" s="12">
        <f t="shared" si="2"/>
        <v>10970500</v>
      </c>
      <c r="V12" s="12">
        <f t="shared" si="2"/>
        <v>10970500</v>
      </c>
      <c r="W12" s="12">
        <f t="shared" si="2"/>
        <v>10970500</v>
      </c>
      <c r="X12" s="12">
        <f t="shared" si="2"/>
        <v>10970500</v>
      </c>
      <c r="Y12" s="12">
        <f t="shared" si="2"/>
        <v>10970500</v>
      </c>
    </row>
    <row r="13" spans="1:29">
      <c r="A13" s="20"/>
      <c r="B13" s="14" t="s">
        <v>284</v>
      </c>
      <c r="C13" s="12"/>
      <c r="D13" s="12"/>
      <c r="E13" s="12"/>
      <c r="F13" s="12"/>
      <c r="G13" s="12"/>
      <c r="H13" s="12"/>
      <c r="I13" s="12"/>
      <c r="J13" s="12">
        <f>+J20*56</f>
        <v>7040000</v>
      </c>
      <c r="K13" s="12">
        <f>+K20*58</f>
        <v>7326428.8200000003</v>
      </c>
      <c r="L13" s="12">
        <v>7429500</v>
      </c>
      <c r="M13" s="12">
        <f>7429500+13000+2500+180000*2.3</f>
        <v>7859000</v>
      </c>
      <c r="N13" s="12">
        <f>7859500+13000+2500+5000</f>
        <v>7880000</v>
      </c>
      <c r="O13" s="12">
        <f>7859500+13000+2500+50000</f>
        <v>7925000</v>
      </c>
      <c r="P13" s="12">
        <f>7859500+13000+2500+50000</f>
        <v>7925000</v>
      </c>
      <c r="Q13" s="12">
        <f>5300*1510</f>
        <v>8003000</v>
      </c>
      <c r="R13" s="12">
        <f>5300*1530</f>
        <v>8109000</v>
      </c>
      <c r="S13" s="12">
        <f>5300*1550</f>
        <v>8215000</v>
      </c>
      <c r="T13" s="12">
        <f>5300*1575</f>
        <v>8347500</v>
      </c>
      <c r="U13" s="12">
        <f>4300*2000</f>
        <v>8600000</v>
      </c>
      <c r="V13" s="12">
        <f>4300*2000</f>
        <v>8600000</v>
      </c>
      <c r="W13" s="12">
        <f>4300*2000</f>
        <v>8600000</v>
      </c>
      <c r="X13" s="12">
        <f>2973*2000</f>
        <v>5946000</v>
      </c>
      <c r="Y13" s="12">
        <f>2973*2000</f>
        <v>5946000</v>
      </c>
      <c r="AB13" s="12">
        <v>5300000</v>
      </c>
      <c r="AC13" s="12"/>
    </row>
    <row r="14" spans="1:29">
      <c r="A14" s="20"/>
      <c r="B14" s="14" t="s">
        <v>542</v>
      </c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>
        <f>1470*2000</f>
        <v>2940000</v>
      </c>
      <c r="Y14" s="12">
        <f>1470*2000</f>
        <v>2940000</v>
      </c>
      <c r="AB14" s="12"/>
      <c r="AC14" s="12"/>
    </row>
    <row r="15" spans="1:29">
      <c r="A15" s="20"/>
      <c r="B15" s="14" t="s">
        <v>285</v>
      </c>
      <c r="C15" s="12"/>
      <c r="D15" s="12"/>
      <c r="E15" s="12"/>
      <c r="F15" s="12"/>
      <c r="G15" s="12"/>
      <c r="H15" s="12"/>
      <c r="I15" s="12"/>
      <c r="J15" s="12">
        <f>+J22*56</f>
        <v>26509.999999999993</v>
      </c>
      <c r="K15" s="12">
        <f>+K22*58</f>
        <v>27456.785714285706</v>
      </c>
      <c r="L15" s="12">
        <v>32456</v>
      </c>
      <c r="M15" s="12">
        <v>33000</v>
      </c>
      <c r="N15" s="12">
        <v>33000</v>
      </c>
      <c r="O15" s="12">
        <f>33000+400*58</f>
        <v>56200</v>
      </c>
      <c r="P15" s="12">
        <v>183452</v>
      </c>
      <c r="Q15" s="12">
        <f>183452+39830</f>
        <v>223282</v>
      </c>
      <c r="R15" s="12">
        <f>223282+54830</f>
        <v>278112</v>
      </c>
      <c r="S15" s="12">
        <f>223282+54830</f>
        <v>278112</v>
      </c>
      <c r="T15" s="12">
        <f>223282+54830+127370+20000</f>
        <v>425482</v>
      </c>
      <c r="U15" s="12">
        <f>223282+54830+127370+20000+300*60</f>
        <v>443482</v>
      </c>
      <c r="V15" s="12">
        <f>223282+54830+127370+20000+300*60+25000+10000</f>
        <v>478482</v>
      </c>
      <c r="W15" s="12">
        <f>223282+54830+127370+20000+300*60+25000+10000+25000+15000</f>
        <v>518482</v>
      </c>
      <c r="X15" s="12">
        <f>223282+54830+127370+20000+300*60+25000+10000+25000+15000</f>
        <v>518482</v>
      </c>
      <c r="Y15" s="12">
        <f>223282+54830+127370+20000+300*60+25000+10000+25000+15000</f>
        <v>518482</v>
      </c>
      <c r="AB15" s="12">
        <v>1500000</v>
      </c>
      <c r="AC15" s="12"/>
    </row>
    <row r="16" spans="1:29">
      <c r="A16" s="20"/>
      <c r="B16" s="14" t="s">
        <v>286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2">
        <f>5605000+9100*30</f>
        <v>5878000</v>
      </c>
      <c r="N16" s="12">
        <f>8100*760</f>
        <v>6156000</v>
      </c>
      <c r="O16" s="12">
        <f>8100*780</f>
        <v>6318000</v>
      </c>
      <c r="P16" s="12">
        <f>8100*785</f>
        <v>6358500</v>
      </c>
      <c r="Q16" s="12">
        <f>8000*795</f>
        <v>6360000</v>
      </c>
      <c r="R16" s="12">
        <f>8000*805</f>
        <v>6440000</v>
      </c>
      <c r="S16" s="12">
        <f>8000*810</f>
        <v>6480000</v>
      </c>
      <c r="T16" s="12">
        <f>8000*830</f>
        <v>6640000</v>
      </c>
      <c r="U16" s="12">
        <f>8000*920</f>
        <v>7360000</v>
      </c>
      <c r="V16" s="12">
        <f>8000*925</f>
        <v>7400000</v>
      </c>
      <c r="W16" s="12">
        <f>8000*940</f>
        <v>7520000</v>
      </c>
      <c r="X16" s="12">
        <f>8000*940</f>
        <v>7520000</v>
      </c>
      <c r="Y16" s="12">
        <f>8000*940</f>
        <v>7520000</v>
      </c>
      <c r="AB16" s="12">
        <f>+AB13+AB15</f>
        <v>6800000</v>
      </c>
      <c r="AC16" s="12">
        <v>12346000</v>
      </c>
    </row>
    <row r="17" spans="1:29">
      <c r="A17" s="20"/>
      <c r="B17" s="14" t="s">
        <v>287</v>
      </c>
      <c r="C17" s="12"/>
      <c r="D17" s="12">
        <f>SUM(D7:D9)</f>
        <v>8852.5</v>
      </c>
      <c r="E17" s="12">
        <f t="shared" ref="E17:M17" si="3">SUM(E6:E9)</f>
        <v>51215</v>
      </c>
      <c r="F17" s="12">
        <f t="shared" si="3"/>
        <v>40124</v>
      </c>
      <c r="G17" s="12">
        <f t="shared" si="3"/>
        <v>34524</v>
      </c>
      <c r="H17" s="12">
        <f t="shared" si="3"/>
        <v>30728</v>
      </c>
      <c r="I17" s="12">
        <f t="shared" si="3"/>
        <v>30623</v>
      </c>
      <c r="J17" s="12">
        <f t="shared" si="3"/>
        <v>28706</v>
      </c>
      <c r="K17" s="12">
        <f t="shared" si="3"/>
        <v>27512</v>
      </c>
      <c r="L17" s="12">
        <f t="shared" si="3"/>
        <v>21583.48</v>
      </c>
      <c r="M17" s="12">
        <f t="shared" si="3"/>
        <v>71614</v>
      </c>
      <c r="N17" s="12" t="e">
        <f t="shared" ref="N17:Y17" si="4">+N9</f>
        <v>#REF!</v>
      </c>
      <c r="O17" s="12" t="e">
        <f t="shared" si="4"/>
        <v>#REF!</v>
      </c>
      <c r="P17" s="12" t="e">
        <f t="shared" si="4"/>
        <v>#REF!</v>
      </c>
      <c r="Q17" s="12" t="e">
        <f t="shared" si="4"/>
        <v>#REF!</v>
      </c>
      <c r="R17" s="12" t="e">
        <f t="shared" si="4"/>
        <v>#REF!</v>
      </c>
      <c r="S17" s="12" t="e">
        <f t="shared" si="4"/>
        <v>#REF!</v>
      </c>
      <c r="T17" s="12" t="e">
        <f t="shared" si="4"/>
        <v>#REF!</v>
      </c>
      <c r="U17" s="12">
        <f t="shared" si="4"/>
        <v>26900</v>
      </c>
      <c r="V17" s="12">
        <f t="shared" si="4"/>
        <v>23800</v>
      </c>
      <c r="W17" s="12">
        <f t="shared" si="4"/>
        <v>22400</v>
      </c>
      <c r="X17" s="12">
        <f t="shared" si="4"/>
        <v>21000</v>
      </c>
      <c r="Y17" s="12">
        <f t="shared" si="4"/>
        <v>21000</v>
      </c>
      <c r="AB17" s="11">
        <f>+X13-AB16</f>
        <v>-854000</v>
      </c>
      <c r="AC17" s="82">
        <f>+AC16-AB16</f>
        <v>5546000</v>
      </c>
    </row>
    <row r="18" spans="1:29">
      <c r="A18" s="20"/>
      <c r="B18" s="14" t="s">
        <v>288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>
        <f t="shared" ref="M18:S20" si="5">+M11/58.75</f>
        <v>5719.1489361702124</v>
      </c>
      <c r="N18" s="12">
        <f t="shared" si="5"/>
        <v>5617.0212765957449</v>
      </c>
      <c r="O18" s="12">
        <f t="shared" si="5"/>
        <v>3404.255319148936</v>
      </c>
      <c r="P18" s="12">
        <f t="shared" si="5"/>
        <v>4034.0425531914893</v>
      </c>
      <c r="Q18" s="12">
        <f t="shared" si="5"/>
        <v>1332.7659574468084</v>
      </c>
      <c r="R18" s="12">
        <f t="shared" si="5"/>
        <v>1753.1914893617022</v>
      </c>
      <c r="S18" s="12">
        <f t="shared" si="5"/>
        <v>1753.1914893617022</v>
      </c>
      <c r="T18" s="12">
        <f t="shared" ref="T18:Y20" si="6">+T11/60</f>
        <v>3083.3333333333335</v>
      </c>
      <c r="U18" s="12">
        <f t="shared" si="6"/>
        <v>2600</v>
      </c>
      <c r="V18" s="12">
        <f t="shared" si="6"/>
        <v>1216.6666666666667</v>
      </c>
      <c r="W18" s="12">
        <f t="shared" si="6"/>
        <v>1166.6666666666667</v>
      </c>
      <c r="X18" s="12">
        <f t="shared" si="6"/>
        <v>833.33333333333337</v>
      </c>
      <c r="Y18" s="12">
        <f t="shared" si="6"/>
        <v>833.33333333333337</v>
      </c>
    </row>
    <row r="19" spans="1:29">
      <c r="B19" s="14" t="s">
        <v>289</v>
      </c>
      <c r="C19" s="12"/>
      <c r="D19" s="12">
        <f t="shared" ref="D19:I19" si="7">+D12/56</f>
        <v>133928.57142857142</v>
      </c>
      <c r="E19" s="12">
        <f t="shared" si="7"/>
        <v>133928.57142857142</v>
      </c>
      <c r="F19" s="12">
        <f t="shared" si="7"/>
        <v>142857.14285714287</v>
      </c>
      <c r="G19" s="12">
        <f t="shared" si="7"/>
        <v>142857.14285714287</v>
      </c>
      <c r="H19" s="12">
        <f t="shared" si="7"/>
        <v>142857.14285714287</v>
      </c>
      <c r="I19" s="12">
        <f t="shared" si="7"/>
        <v>142857.14285714287</v>
      </c>
      <c r="J19" s="12">
        <f>10077000/56</f>
        <v>179946.42857142858</v>
      </c>
      <c r="K19" s="12">
        <f>179946+35000/58</f>
        <v>180549.44827586206</v>
      </c>
      <c r="L19" s="12">
        <f>+L12/55.8</f>
        <v>189175.62724014337</v>
      </c>
      <c r="M19" s="12">
        <f t="shared" ref="M19:O20" si="8">+M12/58.5</f>
        <v>180641.02564102566</v>
      </c>
      <c r="N19" s="12">
        <f t="shared" si="8"/>
        <v>180726.49572649572</v>
      </c>
      <c r="O19" s="12">
        <f t="shared" si="8"/>
        <v>180811.96581196581</v>
      </c>
      <c r="P19" s="12">
        <f t="shared" si="5"/>
        <v>181234.04255319148</v>
      </c>
      <c r="Q19" s="12">
        <f t="shared" si="5"/>
        <v>181319.14893617021</v>
      </c>
      <c r="R19" s="12">
        <f t="shared" si="5"/>
        <v>181455.31914893616</v>
      </c>
      <c r="S19" s="12">
        <f t="shared" si="5"/>
        <v>181795.74468085106</v>
      </c>
      <c r="T19" s="12">
        <f t="shared" si="6"/>
        <v>182841.66666666666</v>
      </c>
      <c r="U19" s="12">
        <f t="shared" si="6"/>
        <v>182841.66666666666</v>
      </c>
      <c r="V19" s="12">
        <f t="shared" si="6"/>
        <v>182841.66666666666</v>
      </c>
      <c r="W19" s="12">
        <f t="shared" si="6"/>
        <v>182841.66666666666</v>
      </c>
      <c r="X19" s="12">
        <f t="shared" si="6"/>
        <v>182841.66666666666</v>
      </c>
      <c r="Y19" s="12">
        <f t="shared" si="6"/>
        <v>182841.66666666666</v>
      </c>
      <c r="AB19" s="81">
        <f>+AB17/AB16</f>
        <v>-0.12558823529411764</v>
      </c>
      <c r="AC19" s="82">
        <f>+AC17/AB16</f>
        <v>0.81558823529411761</v>
      </c>
    </row>
    <row r="20" spans="1:29">
      <c r="B20" s="14" t="s">
        <v>543</v>
      </c>
      <c r="C20" s="12"/>
      <c r="D20" s="12">
        <v>700000</v>
      </c>
      <c r="E20" s="12">
        <f>+V40</f>
        <v>0</v>
      </c>
      <c r="F20" s="12">
        <v>6349920</v>
      </c>
      <c r="G20" s="12">
        <f>6000000+9000+304920+24000+12000+236000+200000</f>
        <v>6785920</v>
      </c>
      <c r="H20" s="12">
        <f>6785920 + 180000</f>
        <v>6965920</v>
      </c>
      <c r="I20" s="12">
        <f>6965920 + 70000</f>
        <v>7035920</v>
      </c>
      <c r="J20" s="12">
        <f>7040000/56</f>
        <v>125714.28571428571</v>
      </c>
      <c r="K20" s="12">
        <f>125714.29+35000/58</f>
        <v>126317.73827586207</v>
      </c>
      <c r="L20" s="12">
        <f>+L13/58.5</f>
        <v>127000</v>
      </c>
      <c r="M20" s="12">
        <f t="shared" si="8"/>
        <v>134341.88034188034</v>
      </c>
      <c r="N20" s="12">
        <f t="shared" si="8"/>
        <v>134700.85470085469</v>
      </c>
      <c r="O20" s="12">
        <f t="shared" si="8"/>
        <v>135470.08547008547</v>
      </c>
      <c r="P20" s="12">
        <f t="shared" si="5"/>
        <v>134893.61702127659</v>
      </c>
      <c r="Q20" s="12">
        <f t="shared" si="5"/>
        <v>136221.27659574468</v>
      </c>
      <c r="R20" s="12">
        <f t="shared" si="5"/>
        <v>138025.53191489363</v>
      </c>
      <c r="S20" s="12">
        <f t="shared" si="5"/>
        <v>139829.78723404257</v>
      </c>
      <c r="T20" s="12">
        <f t="shared" si="6"/>
        <v>139125</v>
      </c>
      <c r="U20" s="12">
        <f t="shared" si="6"/>
        <v>143333.33333333334</v>
      </c>
      <c r="V20" s="12">
        <f t="shared" si="6"/>
        <v>143333.33333333334</v>
      </c>
      <c r="W20" s="12">
        <f t="shared" si="6"/>
        <v>143333.33333333334</v>
      </c>
      <c r="X20" s="12">
        <f t="shared" si="6"/>
        <v>99100</v>
      </c>
      <c r="Y20" s="12">
        <f t="shared" si="6"/>
        <v>99100</v>
      </c>
    </row>
    <row r="21" spans="1:29">
      <c r="B21" s="14" t="s">
        <v>542</v>
      </c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>
        <f>+X14/60</f>
        <v>49000</v>
      </c>
      <c r="Y21" s="12">
        <f>+Y14/60</f>
        <v>49000</v>
      </c>
    </row>
    <row r="22" spans="1:29">
      <c r="B22" s="14" t="s">
        <v>290</v>
      </c>
      <c r="C22" s="12"/>
      <c r="D22" s="12"/>
      <c r="E22" s="12"/>
      <c r="F22" s="12"/>
      <c r="G22" s="12"/>
      <c r="H22" s="12"/>
      <c r="I22" s="12">
        <f>4755+4755</f>
        <v>9510</v>
      </c>
      <c r="J22" s="12">
        <v>473.392857142857</v>
      </c>
      <c r="K22" s="12">
        <v>473.392857142857</v>
      </c>
      <c r="L22" s="12">
        <f>+L15/58.5</f>
        <v>554.80341880341882</v>
      </c>
      <c r="M22" s="12">
        <f>+M15/58.5</f>
        <v>564.10256410256409</v>
      </c>
      <c r="N22" s="12">
        <f>+N15/58.5</f>
        <v>564.10256410256409</v>
      </c>
      <c r="O22" s="12">
        <f>+O15/58.5</f>
        <v>960.68376068376074</v>
      </c>
      <c r="P22" s="12">
        <f t="shared" ref="P22:S23" si="9">+P15/58.75</f>
        <v>3122.5872340425531</v>
      </c>
      <c r="Q22" s="12">
        <f t="shared" si="9"/>
        <v>3800.5446808510637</v>
      </c>
      <c r="R22" s="12">
        <f t="shared" si="9"/>
        <v>4733.8212765957451</v>
      </c>
      <c r="S22" s="12">
        <f t="shared" si="9"/>
        <v>4733.8212765957451</v>
      </c>
      <c r="T22" s="12">
        <f t="shared" ref="T22:Y23" si="10">+T15/60</f>
        <v>7091.3666666666668</v>
      </c>
      <c r="U22" s="12">
        <f t="shared" si="10"/>
        <v>7391.3666666666668</v>
      </c>
      <c r="V22" s="12">
        <f t="shared" si="10"/>
        <v>7974.7</v>
      </c>
      <c r="W22" s="12">
        <f t="shared" si="10"/>
        <v>8641.3666666666668</v>
      </c>
      <c r="X22" s="12">
        <f t="shared" si="10"/>
        <v>8641.3666666666668</v>
      </c>
      <c r="Y22" s="12">
        <f t="shared" si="10"/>
        <v>8641.3666666666668</v>
      </c>
    </row>
    <row r="23" spans="1:29">
      <c r="B23" s="14" t="s">
        <v>291</v>
      </c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>
        <f>+M16/58.5</f>
        <v>100478.63247863248</v>
      </c>
      <c r="N23" s="12">
        <f>+N16/58.5</f>
        <v>105230.76923076923</v>
      </c>
      <c r="O23" s="12">
        <f>+O16/58.5</f>
        <v>108000</v>
      </c>
      <c r="P23" s="12">
        <f t="shared" si="9"/>
        <v>108229.78723404255</v>
      </c>
      <c r="Q23" s="12">
        <f t="shared" si="9"/>
        <v>108255.31914893616</v>
      </c>
      <c r="R23" s="12">
        <f t="shared" si="9"/>
        <v>109617.02127659574</v>
      </c>
      <c r="S23" s="12">
        <f t="shared" si="9"/>
        <v>110297.87234042553</v>
      </c>
      <c r="T23" s="12">
        <f t="shared" si="10"/>
        <v>110666.66666666667</v>
      </c>
      <c r="U23" s="12">
        <f t="shared" si="10"/>
        <v>122666.66666666667</v>
      </c>
      <c r="V23" s="12">
        <f t="shared" si="10"/>
        <v>123333.33333333333</v>
      </c>
      <c r="W23" s="12">
        <f t="shared" si="10"/>
        <v>125333.33333333333</v>
      </c>
      <c r="X23" s="12">
        <f t="shared" si="10"/>
        <v>125333.33333333333</v>
      </c>
      <c r="Y23" s="12">
        <f t="shared" si="10"/>
        <v>125333.33333333333</v>
      </c>
      <c r="AB23">
        <v>5600000</v>
      </c>
    </row>
    <row r="24" spans="1:29">
      <c r="B24" s="14" t="s">
        <v>292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>
        <v>500000</v>
      </c>
      <c r="Q24" s="12">
        <v>500000</v>
      </c>
      <c r="R24" s="12">
        <v>500000</v>
      </c>
      <c r="S24" s="12">
        <v>500000</v>
      </c>
      <c r="T24" s="12">
        <v>500000</v>
      </c>
      <c r="U24" s="12">
        <v>500000</v>
      </c>
      <c r="V24" s="12">
        <v>540000</v>
      </c>
      <c r="W24" s="12">
        <v>550000</v>
      </c>
      <c r="X24" s="12">
        <v>550000</v>
      </c>
      <c r="Y24" s="12">
        <v>550000</v>
      </c>
      <c r="AB24" s="81">
        <v>500000</v>
      </c>
    </row>
    <row r="25" spans="1:29">
      <c r="B25" s="14" t="s">
        <v>293</v>
      </c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>
        <f t="shared" ref="P25:Y25" si="11">+P24/58.75</f>
        <v>8510.6382978723395</v>
      </c>
      <c r="Q25" s="12">
        <f t="shared" si="11"/>
        <v>8510.6382978723395</v>
      </c>
      <c r="R25" s="12">
        <f t="shared" si="11"/>
        <v>8510.6382978723395</v>
      </c>
      <c r="S25" s="12">
        <f t="shared" si="11"/>
        <v>8510.6382978723395</v>
      </c>
      <c r="T25" s="12">
        <f t="shared" si="11"/>
        <v>8510.6382978723395</v>
      </c>
      <c r="U25" s="12">
        <f t="shared" si="11"/>
        <v>8510.6382978723395</v>
      </c>
      <c r="V25" s="12">
        <f t="shared" si="11"/>
        <v>9191.489361702128</v>
      </c>
      <c r="W25" s="12">
        <f t="shared" si="11"/>
        <v>9361.7021276595751</v>
      </c>
      <c r="X25" s="12">
        <f t="shared" si="11"/>
        <v>9361.7021276595751</v>
      </c>
      <c r="Y25" s="12">
        <f t="shared" si="11"/>
        <v>9361.7021276595751</v>
      </c>
      <c r="AB25" s="82">
        <f>+AB23+AB24</f>
        <v>6100000</v>
      </c>
    </row>
    <row r="26" spans="1:29">
      <c r="B26" s="14" t="s">
        <v>294</v>
      </c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4"/>
      <c r="U26" s="12">
        <v>300000</v>
      </c>
      <c r="V26" s="12">
        <v>300000</v>
      </c>
      <c r="W26" s="12">
        <v>100000</v>
      </c>
      <c r="X26" s="12">
        <v>100000</v>
      </c>
      <c r="Y26" s="12">
        <v>100000</v>
      </c>
      <c r="AB26" s="11">
        <f>+X16</f>
        <v>7520000</v>
      </c>
      <c r="AC26" s="74">
        <f>+X51</f>
        <v>21112000</v>
      </c>
    </row>
    <row r="27" spans="1:29">
      <c r="B27" s="14" t="s">
        <v>295</v>
      </c>
      <c r="C27" s="12"/>
      <c r="D27" s="14"/>
      <c r="E27" s="12"/>
      <c r="F27" s="12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2"/>
      <c r="V27" s="12"/>
      <c r="W27" s="12"/>
      <c r="X27" s="12"/>
      <c r="Y27" s="12"/>
      <c r="AB27" s="82">
        <f>+AB26-AB25</f>
        <v>1420000</v>
      </c>
      <c r="AC27" s="82">
        <f>+AC26-AB25</f>
        <v>15012000</v>
      </c>
    </row>
    <row r="28" spans="1:29">
      <c r="B28" s="14" t="s">
        <v>296</v>
      </c>
      <c r="C28" s="12"/>
      <c r="D28" s="14"/>
      <c r="E28" s="12"/>
      <c r="F28" s="12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2">
        <f t="shared" ref="U28:Y29" si="12">+U26/60</f>
        <v>5000</v>
      </c>
      <c r="V28" s="12">
        <f t="shared" si="12"/>
        <v>5000</v>
      </c>
      <c r="W28" s="12">
        <f t="shared" si="12"/>
        <v>1666.6666666666667</v>
      </c>
      <c r="X28" s="12">
        <f t="shared" si="12"/>
        <v>1666.6666666666667</v>
      </c>
      <c r="Y28" s="12">
        <f t="shared" si="12"/>
        <v>1666.6666666666667</v>
      </c>
      <c r="AB28" s="82">
        <f>+AB27/AB25</f>
        <v>0.23278688524590163</v>
      </c>
      <c r="AC28" s="82">
        <f>+AC27/AB25</f>
        <v>2.4609836065573769</v>
      </c>
    </row>
    <row r="29" spans="1:29">
      <c r="B29" s="14" t="s">
        <v>297</v>
      </c>
      <c r="C29" s="12"/>
      <c r="D29" s="14"/>
      <c r="E29" s="12"/>
      <c r="F29" s="12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2">
        <f t="shared" si="12"/>
        <v>0</v>
      </c>
      <c r="V29" s="12">
        <f t="shared" si="12"/>
        <v>0</v>
      </c>
      <c r="W29" s="12">
        <f t="shared" si="12"/>
        <v>0</v>
      </c>
      <c r="X29" s="12">
        <f t="shared" si="12"/>
        <v>0</v>
      </c>
      <c r="Y29" s="12">
        <f t="shared" si="12"/>
        <v>0</v>
      </c>
    </row>
    <row r="30" spans="1:29">
      <c r="B30" s="14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</row>
    <row r="31" spans="1:29">
      <c r="B31" s="14" t="s">
        <v>137</v>
      </c>
      <c r="C31" s="12">
        <v>-102000</v>
      </c>
      <c r="D31" s="12">
        <v>-148000</v>
      </c>
      <c r="E31" s="12">
        <v>-118000</v>
      </c>
      <c r="F31" s="12">
        <v>-100000</v>
      </c>
      <c r="G31" s="12">
        <v>-177000</v>
      </c>
      <c r="H31" s="12">
        <v>-118000</v>
      </c>
      <c r="I31" s="12">
        <v>-95000</v>
      </c>
      <c r="J31" s="12">
        <v>-95000</v>
      </c>
      <c r="K31" s="12">
        <v>-111000</v>
      </c>
      <c r="L31" s="12">
        <v>-221000</v>
      </c>
      <c r="M31" s="12">
        <v>-221000</v>
      </c>
      <c r="N31" s="12">
        <v>-221000</v>
      </c>
      <c r="O31" s="12">
        <v>-221000</v>
      </c>
      <c r="P31" s="12">
        <v>-221000</v>
      </c>
      <c r="Q31" s="12">
        <v>-221000</v>
      </c>
      <c r="R31" s="12">
        <v>-221000</v>
      </c>
      <c r="S31" s="12">
        <v>-221000</v>
      </c>
      <c r="T31" s="12">
        <v>-221000</v>
      </c>
      <c r="U31" s="12">
        <v>-221000</v>
      </c>
      <c r="V31" s="12">
        <v>-221000</v>
      </c>
      <c r="W31" s="12">
        <v>-221000</v>
      </c>
      <c r="X31" s="12">
        <v>-221000</v>
      </c>
      <c r="Y31" s="12">
        <v>-221000</v>
      </c>
    </row>
    <row r="32" spans="1:29">
      <c r="B32" s="14" t="s">
        <v>298</v>
      </c>
      <c r="C32" s="12"/>
      <c r="D32" s="12">
        <f>SUM(D3:D31)</f>
        <v>8824766.9464285709</v>
      </c>
      <c r="E32" s="12">
        <f>SUM(E10:E31)</f>
        <v>10470678.821428571</v>
      </c>
      <c r="F32" s="12">
        <f>SUM(F10:F20)</f>
        <v>17088721.142857142</v>
      </c>
      <c r="G32" s="12">
        <f>SUM(G10:G20)</f>
        <v>16982835.542857144</v>
      </c>
      <c r="H32" s="12">
        <f>SUM(H10:H20)</f>
        <v>16977981.942857146</v>
      </c>
      <c r="I32" s="12">
        <f>SUM(I10:I22)</f>
        <v>16985548.942857146</v>
      </c>
      <c r="J32" s="12" t="e">
        <f>+J17+J19+J20+J22+#REF!</f>
        <v>#REF!</v>
      </c>
      <c r="K32" s="12" t="e">
        <f>+K17+K19+K20+K22+#REF!</f>
        <v>#REF!</v>
      </c>
      <c r="L32" s="12" t="e">
        <f>+L17+L19+L20+L22+#REF!</f>
        <v>#REF!</v>
      </c>
      <c r="M32" s="12">
        <f t="shared" ref="M32:T32" si="13">+M17+M19+M20+M22+M23+M25+M18</f>
        <v>493358.78996181127</v>
      </c>
      <c r="N32" s="12" t="e">
        <f t="shared" si="13"/>
        <v>#REF!</v>
      </c>
      <c r="O32" s="12" t="e">
        <f t="shared" si="13"/>
        <v>#REF!</v>
      </c>
      <c r="P32" s="12" t="e">
        <f t="shared" si="13"/>
        <v>#REF!</v>
      </c>
      <c r="Q32" s="12" t="e">
        <f t="shared" si="13"/>
        <v>#REF!</v>
      </c>
      <c r="R32" s="12" t="e">
        <f t="shared" si="13"/>
        <v>#REF!</v>
      </c>
      <c r="S32" s="12" t="e">
        <f t="shared" si="13"/>
        <v>#REF!</v>
      </c>
      <c r="T32" s="12" t="e">
        <f t="shared" si="13"/>
        <v>#REF!</v>
      </c>
      <c r="U32" s="12">
        <f>+U17+U19+U20+U22+U23+U25+U18+U28+U29</f>
        <v>499243.67163120565</v>
      </c>
      <c r="V32" s="12">
        <f>+V17+V19+V20+V22+V23+V25+V18+V28+V29</f>
        <v>496691.18936170213</v>
      </c>
      <c r="W32" s="12">
        <f>+W17+W19+W20+W22+W23+W25+W18+W28+W29</f>
        <v>494744.7354609929</v>
      </c>
      <c r="X32" s="12">
        <f>+X17+X19+X20+X22+X23+X25+X18+X28+X29+X21</f>
        <v>497778.06879432616</v>
      </c>
      <c r="Y32" s="12">
        <f>+Y17+Y19+Y20+Y22+Y23+Y25+Y18+Y28+Y29+Y21</f>
        <v>497778.06879432616</v>
      </c>
      <c r="AB32">
        <f>+Y32*60</f>
        <v>29866684.12765957</v>
      </c>
    </row>
    <row r="33" spans="2:31">
      <c r="B33" s="14" t="s">
        <v>299</v>
      </c>
      <c r="C33" s="12"/>
      <c r="D33" s="12"/>
      <c r="E33" s="12"/>
      <c r="F33" s="12"/>
      <c r="G33" s="12"/>
      <c r="H33" s="12"/>
      <c r="I33" s="12"/>
      <c r="J33" s="12"/>
      <c r="K33" s="12"/>
      <c r="L33" s="61" t="e">
        <f>+L32*58</f>
        <v>#REF!</v>
      </c>
      <c r="M33" s="12">
        <f>+M32*58</f>
        <v>28614809.817785054</v>
      </c>
      <c r="N33" s="12" t="e">
        <f>+N32*58</f>
        <v>#REF!</v>
      </c>
      <c r="O33" s="12" t="e">
        <f>+O32*58</f>
        <v>#REF!</v>
      </c>
      <c r="P33" s="12" t="e">
        <f>+P32*58.75</f>
        <v>#REF!</v>
      </c>
      <c r="Q33" s="12" t="e">
        <f>+Q32*58.75</f>
        <v>#REF!</v>
      </c>
      <c r="R33" s="12" t="e">
        <f>+R32*58.75</f>
        <v>#REF!</v>
      </c>
      <c r="S33" s="12" t="e">
        <f>+S32*58.75</f>
        <v>#REF!</v>
      </c>
      <c r="T33" s="12" t="e">
        <f t="shared" ref="T33:Y33" si="14">+T32*60</f>
        <v>#REF!</v>
      </c>
      <c r="U33" s="12">
        <f t="shared" si="14"/>
        <v>29954620.297872338</v>
      </c>
      <c r="V33" s="12">
        <f t="shared" si="14"/>
        <v>29801471.361702129</v>
      </c>
      <c r="W33" s="12">
        <f t="shared" si="14"/>
        <v>29684684.127659574</v>
      </c>
      <c r="X33" s="12">
        <f t="shared" si="14"/>
        <v>29866684.12765957</v>
      </c>
      <c r="Y33" s="12">
        <f t="shared" si="14"/>
        <v>29866684.12765957</v>
      </c>
    </row>
    <row r="34" spans="2:31">
      <c r="B34" s="14" t="s">
        <v>300</v>
      </c>
      <c r="C34" s="12"/>
      <c r="D34" s="22">
        <f>+E32-D32</f>
        <v>1645911.875</v>
      </c>
      <c r="E34" s="12">
        <f>+E32-D32</f>
        <v>1645911.875</v>
      </c>
      <c r="F34" s="12">
        <f>+F32-E32</f>
        <v>6618042.3214285709</v>
      </c>
      <c r="G34" s="12">
        <f>+G32-F32</f>
        <v>-105885.59999999776</v>
      </c>
      <c r="H34" s="12">
        <f>(+H32-G32)/56</f>
        <v>-86.67142857138866</v>
      </c>
      <c r="I34" s="12">
        <f>(+I32-H32)/56</f>
        <v>135.125</v>
      </c>
      <c r="J34" s="12"/>
      <c r="K34" s="12" t="e">
        <f>+K32-J32</f>
        <v>#REF!</v>
      </c>
      <c r="L34" s="12" t="e">
        <f>+L32-K32</f>
        <v>#REF!</v>
      </c>
      <c r="M34" s="12"/>
      <c r="N34" s="12" t="e">
        <f t="shared" ref="N34:Y34" si="15">+N32-M32</f>
        <v>#REF!</v>
      </c>
      <c r="O34" s="12" t="e">
        <f t="shared" si="15"/>
        <v>#REF!</v>
      </c>
      <c r="P34" s="12" t="e">
        <f t="shared" si="15"/>
        <v>#REF!</v>
      </c>
      <c r="Q34" s="12" t="e">
        <f t="shared" si="15"/>
        <v>#REF!</v>
      </c>
      <c r="R34" s="12" t="e">
        <f t="shared" si="15"/>
        <v>#REF!</v>
      </c>
      <c r="S34" s="12" t="e">
        <f t="shared" si="15"/>
        <v>#REF!</v>
      </c>
      <c r="T34" s="12" t="e">
        <f t="shared" si="15"/>
        <v>#REF!</v>
      </c>
      <c r="U34" s="12" t="e">
        <f t="shared" si="15"/>
        <v>#REF!</v>
      </c>
      <c r="V34" s="12">
        <f t="shared" si="15"/>
        <v>-2552.4822695035255</v>
      </c>
      <c r="W34" s="12">
        <f t="shared" si="15"/>
        <v>-1946.4539007092244</v>
      </c>
      <c r="X34" s="12">
        <f t="shared" si="15"/>
        <v>3033.3333333332557</v>
      </c>
      <c r="Y34" s="12">
        <f t="shared" si="15"/>
        <v>0</v>
      </c>
    </row>
    <row r="35" spans="2:31">
      <c r="B35" s="14" t="s">
        <v>301</v>
      </c>
      <c r="C35" s="12"/>
      <c r="D35" s="22"/>
      <c r="E35" s="12"/>
      <c r="F35" s="12"/>
      <c r="G35" s="14"/>
      <c r="H35" s="12">
        <f>+H32/56</f>
        <v>303178.24897959188</v>
      </c>
      <c r="I35" s="12">
        <f>+I32/56</f>
        <v>303313.37397959188</v>
      </c>
      <c r="J35" s="12"/>
      <c r="K35" s="12" t="e">
        <f>+K34*58</f>
        <v>#REF!</v>
      </c>
      <c r="L35" s="12" t="e">
        <f>+L34*58</f>
        <v>#REF!</v>
      </c>
      <c r="M35" s="12"/>
      <c r="N35" s="12" t="e">
        <f t="shared" ref="N35:T35" si="16">+N34*58</f>
        <v>#REF!</v>
      </c>
      <c r="O35" s="12" t="e">
        <f t="shared" si="16"/>
        <v>#REF!</v>
      </c>
      <c r="P35" s="12" t="e">
        <f t="shared" si="16"/>
        <v>#REF!</v>
      </c>
      <c r="Q35" s="12" t="e">
        <f t="shared" si="16"/>
        <v>#REF!</v>
      </c>
      <c r="R35" s="12" t="e">
        <f t="shared" si="16"/>
        <v>#REF!</v>
      </c>
      <c r="S35" s="12" t="e">
        <f t="shared" si="16"/>
        <v>#REF!</v>
      </c>
      <c r="T35" s="12" t="e">
        <f t="shared" si="16"/>
        <v>#REF!</v>
      </c>
      <c r="U35" s="12" t="e">
        <f>+U34*60</f>
        <v>#REF!</v>
      </c>
      <c r="V35" s="12">
        <f>+V34*60</f>
        <v>-153148.93617021153</v>
      </c>
      <c r="W35" s="12">
        <f>+W34*60</f>
        <v>-116787.23404255346</v>
      </c>
      <c r="X35" s="12">
        <f>+X34*60</f>
        <v>181999.99999999534</v>
      </c>
      <c r="Y35" s="12">
        <f>+Y34*60</f>
        <v>0</v>
      </c>
    </row>
    <row r="37" spans="2:31">
      <c r="V37" s="2"/>
      <c r="W37" s="11"/>
      <c r="X37" s="2"/>
      <c r="Y37" s="2"/>
    </row>
    <row r="38" spans="2:31">
      <c r="V38" s="2"/>
      <c r="W38" s="11"/>
      <c r="X38" s="2"/>
      <c r="Y38" s="2"/>
    </row>
    <row r="39" spans="2:31">
      <c r="V39" s="2"/>
      <c r="W39" s="11"/>
      <c r="X39" s="2"/>
      <c r="Y39" s="2"/>
    </row>
    <row r="40" spans="2:31" ht="18.5">
      <c r="U40" s="191" t="s">
        <v>87</v>
      </c>
      <c r="V40" s="191"/>
      <c r="W40" s="191"/>
      <c r="X40" s="191"/>
      <c r="Y40" s="191"/>
      <c r="Z40" s="191"/>
      <c r="AA40" s="191"/>
      <c r="AB40" s="191"/>
      <c r="AC40" s="191"/>
      <c r="AD40" s="191"/>
      <c r="AE40" s="191"/>
    </row>
    <row r="41" spans="2:31" ht="15.5">
      <c r="U41" s="62"/>
      <c r="V41" s="62"/>
      <c r="W41" s="62"/>
      <c r="X41" s="63" t="s">
        <v>302</v>
      </c>
      <c r="Y41" s="64">
        <v>0.14000000000000001</v>
      </c>
      <c r="Z41" s="62"/>
      <c r="AA41" s="62"/>
      <c r="AB41" s="65" t="s">
        <v>303</v>
      </c>
      <c r="AC41" s="66"/>
      <c r="AD41" s="66"/>
      <c r="AE41" s="62"/>
    </row>
    <row r="42" spans="2:31" ht="39.5" customHeight="1">
      <c r="U42" s="67"/>
      <c r="V42" s="84" t="s">
        <v>304</v>
      </c>
      <c r="W42" s="68" t="s">
        <v>545</v>
      </c>
      <c r="X42" s="68" t="s">
        <v>307</v>
      </c>
      <c r="Y42" s="68" t="s">
        <v>546</v>
      </c>
      <c r="Z42" s="68" t="s">
        <v>310</v>
      </c>
      <c r="AA42" s="68">
        <v>60</v>
      </c>
      <c r="AB42" s="68">
        <v>72</v>
      </c>
      <c r="AC42" s="68">
        <v>120</v>
      </c>
    </row>
    <row r="43" spans="2:31" ht="17.5">
      <c r="U43" s="71">
        <v>1</v>
      </c>
      <c r="V43" s="72">
        <v>1111</v>
      </c>
      <c r="W43" s="72">
        <f>45*60</f>
        <v>2700</v>
      </c>
      <c r="X43" s="72">
        <f t="shared" ref="X43:X50" si="17">+V43*W43</f>
        <v>2999700</v>
      </c>
      <c r="Y43" s="72">
        <v>300000</v>
      </c>
      <c r="Z43" s="72">
        <f t="shared" ref="Z43:Z50" si="18">+X43-Y43</f>
        <v>2699700</v>
      </c>
      <c r="AA43" s="73">
        <f>PMT(+Y41/12, +AA42, -Z43)</f>
        <v>62817.296818091963</v>
      </c>
      <c r="AB43" s="73">
        <f>PMT(+Y41/12, +AB42, -Z43)</f>
        <v>55629.314880559861</v>
      </c>
      <c r="AC43" s="73">
        <f>PMT(+Y41/12, +AC42, -Z43)</f>
        <v>41917.279467995679</v>
      </c>
    </row>
    <row r="44" spans="2:31" ht="17.5">
      <c r="U44" s="71">
        <v>2</v>
      </c>
      <c r="V44" s="72">
        <v>1207</v>
      </c>
      <c r="W44" s="72">
        <f>45*60</f>
        <v>2700</v>
      </c>
      <c r="X44" s="72">
        <f t="shared" si="17"/>
        <v>3258900</v>
      </c>
      <c r="Y44" s="72">
        <v>300000</v>
      </c>
      <c r="Z44" s="72">
        <f t="shared" si="18"/>
        <v>2958900</v>
      </c>
      <c r="AA44" s="73">
        <f>PMT(+Y41/12, +AA42, -Z44)</f>
        <v>68848.42743825326</v>
      </c>
      <c r="AB44" s="73">
        <f>PMT(+Y41/12, +AB42, -Z44)</f>
        <v>60970.322554390703</v>
      </c>
      <c r="AC44" s="73">
        <f>PMT(+Y41/12, +AC42, -Z44)</f>
        <v>45941.785464256172</v>
      </c>
    </row>
    <row r="45" spans="2:31" ht="17.5">
      <c r="U45" s="71">
        <v>3</v>
      </c>
      <c r="V45" s="72">
        <v>1106</v>
      </c>
      <c r="W45" s="72">
        <f>45*60</f>
        <v>2700</v>
      </c>
      <c r="X45" s="72">
        <f t="shared" si="17"/>
        <v>2986200</v>
      </c>
      <c r="Y45" s="72">
        <v>300000</v>
      </c>
      <c r="Z45" s="72">
        <f t="shared" si="18"/>
        <v>2686200</v>
      </c>
      <c r="AA45" s="73">
        <f>PMT(+Y41/12, +AA42, -Z45)</f>
        <v>62503.175431625234</v>
      </c>
      <c r="AB45" s="73">
        <f>PMT(+Y41/12, +AB42, -Z45)</f>
        <v>55351.137397547842</v>
      </c>
      <c r="AC45" s="73">
        <f>PMT(+Y41/12, +AC42, -Z45)</f>
        <v>41707.669780690441</v>
      </c>
    </row>
    <row r="46" spans="2:31" ht="17.5">
      <c r="U46" s="71">
        <v>4</v>
      </c>
      <c r="V46" s="72">
        <v>986</v>
      </c>
      <c r="W46" s="72">
        <f>45*60</f>
        <v>2700</v>
      </c>
      <c r="X46" s="72">
        <f t="shared" si="17"/>
        <v>2662200</v>
      </c>
      <c r="Y46" s="72">
        <v>300000</v>
      </c>
      <c r="Z46" s="72">
        <f>+X46-Y46</f>
        <v>2362200</v>
      </c>
      <c r="AA46" s="73">
        <f>PMT(+Y41/12, +AA42, -Z46)</f>
        <v>54964.262156423618</v>
      </c>
      <c r="AB46" s="73">
        <f>PMT(+Y41/12, +AB42, -Z46)</f>
        <v>48674.877805259297</v>
      </c>
      <c r="AC46" s="73">
        <f>PMT(+Y41/12, +AC42, -Z46)</f>
        <v>36677.037285364815</v>
      </c>
    </row>
    <row r="47" spans="2:31" ht="17.5">
      <c r="U47" s="71">
        <v>5</v>
      </c>
      <c r="V47" s="72">
        <v>729</v>
      </c>
      <c r="W47" s="72">
        <v>2500</v>
      </c>
      <c r="X47" s="72">
        <f t="shared" si="17"/>
        <v>1822500</v>
      </c>
      <c r="Y47" s="72">
        <v>300000</v>
      </c>
      <c r="Z47" s="72">
        <f t="shared" si="18"/>
        <v>1522500</v>
      </c>
      <c r="AA47" s="73">
        <f>PMT(+Y41/12, +AA42, -Z47)</f>
        <v>35425.911918192767</v>
      </c>
      <c r="AB47" s="73">
        <f>PMT(+Y41/12, +AB42, -Z47)</f>
        <v>31372.23836191147</v>
      </c>
      <c r="AC47" s="73">
        <f>PMT(+Y41/12, +AC42, -Z47)</f>
        <v>23639.314734979223</v>
      </c>
    </row>
    <row r="48" spans="2:31" ht="17.5">
      <c r="U48" s="71">
        <v>6</v>
      </c>
      <c r="V48" s="72">
        <v>878</v>
      </c>
      <c r="W48" s="72">
        <v>2500</v>
      </c>
      <c r="X48" s="72">
        <f t="shared" si="17"/>
        <v>2195000</v>
      </c>
      <c r="Y48" s="72">
        <v>300000</v>
      </c>
      <c r="Z48" s="72">
        <f t="shared" si="18"/>
        <v>1895000</v>
      </c>
      <c r="AA48" s="73">
        <f>PMT(+Y41/12, +AA42, -Z48)</f>
        <v>44093.335359589684</v>
      </c>
      <c r="AB48" s="73">
        <f>PMT(+Y41/12, +AB42, -Z48)</f>
        <v>39047.876319095063</v>
      </c>
      <c r="AC48" s="73">
        <f>PMT(+Y41/12, +AC42, -Z48)</f>
        <v>29422.989440253292</v>
      </c>
    </row>
    <row r="49" spans="3:32" ht="17.5">
      <c r="U49" s="71">
        <v>7</v>
      </c>
      <c r="V49" s="72">
        <v>964</v>
      </c>
      <c r="W49" s="72">
        <v>2500</v>
      </c>
      <c r="X49" s="72">
        <f t="shared" si="17"/>
        <v>2410000</v>
      </c>
      <c r="Y49" s="72">
        <v>300000</v>
      </c>
      <c r="Z49" s="72">
        <f t="shared" si="18"/>
        <v>2110000</v>
      </c>
      <c r="AA49" s="73">
        <f>PMT(+Y41/12, +AA42, -Z49)</f>
        <v>49096.009292208044</v>
      </c>
      <c r="AB49" s="73">
        <f>PMT(+Y41/12, +AB42, -Z49)</f>
        <v>43478.110307805058</v>
      </c>
      <c r="AC49" s="73">
        <f>PMT(+Y41/12, +AC42, -Z49)</f>
        <v>32761.217793632946</v>
      </c>
    </row>
    <row r="50" spans="3:32" ht="17.5">
      <c r="U50" s="71">
        <v>8</v>
      </c>
      <c r="V50" s="72">
        <v>1111</v>
      </c>
      <c r="W50" s="72">
        <v>2500</v>
      </c>
      <c r="X50" s="72">
        <f t="shared" si="17"/>
        <v>2777500</v>
      </c>
      <c r="Y50" s="72">
        <v>300000</v>
      </c>
      <c r="Z50" s="72">
        <f t="shared" si="18"/>
        <v>2477500</v>
      </c>
      <c r="AA50" s="73">
        <f>PMT(+Y41/12, +AA42, -Z50)</f>
        <v>57647.091479358016</v>
      </c>
      <c r="AB50" s="73">
        <f>PMT(+Y41/12, +AB42, -Z50)</f>
        <v>51050.719567576794</v>
      </c>
      <c r="AC50" s="73">
        <f>PMT(+Y41/12, +AC42, -Z50)</f>
        <v>38467.259281386556</v>
      </c>
    </row>
    <row r="51" spans="3:32" ht="15.5">
      <c r="X51" s="74">
        <f t="shared" ref="X51:AC51" si="19">SUM(X43:X50)</f>
        <v>21112000</v>
      </c>
      <c r="Y51" s="74">
        <f t="shared" si="19"/>
        <v>2400000</v>
      </c>
      <c r="Z51" s="74">
        <f t="shared" si="19"/>
        <v>18712000</v>
      </c>
      <c r="AA51" s="72">
        <f t="shared" si="19"/>
        <v>435395.50989374262</v>
      </c>
      <c r="AB51" s="72">
        <f t="shared" si="19"/>
        <v>385574.59719414607</v>
      </c>
      <c r="AC51" s="72">
        <f t="shared" si="19"/>
        <v>290534.55324855907</v>
      </c>
    </row>
    <row r="52" spans="3:32">
      <c r="AA52" s="74" t="e">
        <f>+#REF!</f>
        <v>#REF!</v>
      </c>
      <c r="AB52" s="74" t="e">
        <f>+#REF!</f>
        <v>#REF!</v>
      </c>
      <c r="AC52" s="74" t="e">
        <f>+#REF!</f>
        <v>#REF!</v>
      </c>
    </row>
    <row r="53" spans="3:32" ht="15.5">
      <c r="AA53" s="72">
        <f>+AA51*60</f>
        <v>26123730.593624558</v>
      </c>
      <c r="AB53" s="72">
        <f>+AB51*60</f>
        <v>23134475.831648763</v>
      </c>
      <c r="AC53" s="72">
        <f>+AC51*120</f>
        <v>34864146.389827088</v>
      </c>
    </row>
    <row r="56" spans="3:32" ht="18.5">
      <c r="U56" s="194" t="s">
        <v>311</v>
      </c>
      <c r="V56" s="194"/>
      <c r="W56" s="194"/>
      <c r="X56" s="194"/>
      <c r="Y56" s="194"/>
      <c r="Z56" s="194"/>
      <c r="AA56" s="194"/>
      <c r="AB56" s="194"/>
      <c r="AC56" s="194"/>
      <c r="AD56" s="194"/>
      <c r="AE56" s="194"/>
      <c r="AF56" s="194"/>
    </row>
    <row r="57" spans="3:32" ht="15.5">
      <c r="U57" s="62"/>
      <c r="V57" s="62"/>
      <c r="W57" s="62"/>
      <c r="X57" s="62"/>
      <c r="Y57" s="63" t="s">
        <v>302</v>
      </c>
      <c r="Z57" s="64">
        <v>0.14000000000000001</v>
      </c>
      <c r="AA57" s="62"/>
      <c r="AB57" s="62"/>
      <c r="AC57" s="65" t="s">
        <v>303</v>
      </c>
      <c r="AD57" s="76"/>
      <c r="AE57" s="66"/>
      <c r="AF57" s="62"/>
    </row>
    <row r="58" spans="3:32" s="86" customFormat="1" ht="48" customHeight="1">
      <c r="C58" s="85"/>
      <c r="E58" s="85"/>
      <c r="F58" s="85"/>
      <c r="U58" s="77"/>
      <c r="V58" s="68" t="s">
        <v>304</v>
      </c>
      <c r="W58" s="68" t="s">
        <v>305</v>
      </c>
      <c r="X58" s="68" t="s">
        <v>306</v>
      </c>
      <c r="Y58" s="68" t="s">
        <v>307</v>
      </c>
      <c r="Z58" s="68" t="s">
        <v>546</v>
      </c>
      <c r="AA58" s="68" t="s">
        <v>310</v>
      </c>
      <c r="AB58" s="77">
        <v>60</v>
      </c>
      <c r="AC58" s="77">
        <v>72</v>
      </c>
      <c r="AD58" s="77">
        <v>120</v>
      </c>
    </row>
    <row r="59" spans="3:32" ht="17.5">
      <c r="U59" s="71" t="s">
        <v>312</v>
      </c>
      <c r="V59" s="12">
        <v>1487</v>
      </c>
      <c r="W59" s="14"/>
      <c r="X59" s="72"/>
      <c r="Y59" s="72">
        <v>5100000</v>
      </c>
      <c r="Z59" s="72">
        <v>300000</v>
      </c>
      <c r="AA59" s="72">
        <v>4800000</v>
      </c>
      <c r="AB59" s="78">
        <f>PMT(+Z57/12, +AB58, -AA59)</f>
        <v>111687.60407706095</v>
      </c>
      <c r="AC59" s="78">
        <f>PMT(+Z57/12, +AC58, -AA59)</f>
        <v>98907.549515385923</v>
      </c>
      <c r="AD59" s="78">
        <f>PMT(+Z57/12, +AD58, -AA59)</f>
        <v>74527.888819638931</v>
      </c>
    </row>
    <row r="60" spans="3:32" ht="17.5">
      <c r="U60" s="71" t="s">
        <v>313</v>
      </c>
      <c r="V60" s="12">
        <v>881</v>
      </c>
      <c r="W60" s="14">
        <v>45</v>
      </c>
      <c r="X60" s="72">
        <f>+W60*60</f>
        <v>2700</v>
      </c>
      <c r="Y60" s="72">
        <f>+V60*X60</f>
        <v>2378700</v>
      </c>
      <c r="Z60" s="72">
        <f>+Y60*0.2</f>
        <v>475740</v>
      </c>
      <c r="AA60" s="72">
        <f>+Y60-Z60</f>
        <v>1902960</v>
      </c>
      <c r="AB60" s="78">
        <f>PMT(+Z57/12, +AB58, -AA60)</f>
        <v>44278.55063635081</v>
      </c>
      <c r="AC60" s="78">
        <f>PMT(+AA57/12, +AC58, -AA60)</f>
        <v>26430</v>
      </c>
      <c r="AD60" s="78">
        <f>PMT(+Z57/12, +AD58, -AA60)</f>
        <v>29546.581522545857</v>
      </c>
    </row>
    <row r="61" spans="3:32" ht="17.5">
      <c r="U61" s="71" t="s">
        <v>314</v>
      </c>
      <c r="V61" s="12">
        <v>615</v>
      </c>
      <c r="W61" s="14">
        <v>42</v>
      </c>
      <c r="X61" s="72">
        <f>+W61*60</f>
        <v>2520</v>
      </c>
      <c r="Y61" s="72">
        <f>+V61*X61</f>
        <v>1549800</v>
      </c>
      <c r="Z61" s="72">
        <f>+Y61*0.2</f>
        <v>309960</v>
      </c>
      <c r="AA61" s="72">
        <f>+Y61-Z61</f>
        <v>1239840</v>
      </c>
      <c r="AB61" s="78">
        <f>PMT(+Z57/12, +AB58, -AA61)</f>
        <v>28848.90813310484</v>
      </c>
      <c r="AC61" s="78">
        <f>PMT(+Z57/12, +AC58, -AA61)</f>
        <v>25547.820039824179</v>
      </c>
      <c r="AD61" s="78">
        <f>PMT(+Z57/12, +AD58, -AA61)</f>
        <v>19250.553682112739</v>
      </c>
    </row>
    <row r="62" spans="3:32" ht="17.5">
      <c r="U62" s="71" t="s">
        <v>315</v>
      </c>
      <c r="V62" s="12">
        <v>608</v>
      </c>
      <c r="W62" s="14">
        <v>42</v>
      </c>
      <c r="X62" s="72">
        <f>+W62*60</f>
        <v>2520</v>
      </c>
      <c r="Y62" s="72">
        <f>+V62*X62</f>
        <v>1532160</v>
      </c>
      <c r="Z62" s="72">
        <f>+Y62*0.2</f>
        <v>306432</v>
      </c>
      <c r="AA62" s="72">
        <f>+Y62-Z62</f>
        <v>1225728</v>
      </c>
      <c r="AB62" s="78">
        <f>PMT(+Z57/12, +AB58, -AA62)</f>
        <v>28520.546577118283</v>
      </c>
      <c r="AC62" s="78">
        <f>PMT(+Z57/12, +AC58, -AA62)</f>
        <v>25257.031844248948</v>
      </c>
      <c r="AD62" s="78">
        <f>PMT(+Z57/12, +AD58, -AA62)</f>
        <v>19031.441688982999</v>
      </c>
    </row>
    <row r="63" spans="3:32" ht="17.5">
      <c r="U63" s="71" t="s">
        <v>316</v>
      </c>
      <c r="V63" s="12">
        <v>869</v>
      </c>
      <c r="W63" s="14">
        <v>40</v>
      </c>
      <c r="X63" s="72">
        <f>+W63*60</f>
        <v>2400</v>
      </c>
      <c r="Y63" s="72">
        <f>+V63*X63</f>
        <v>2085600</v>
      </c>
      <c r="Z63" s="72">
        <f>+Y63*0.2</f>
        <v>417120</v>
      </c>
      <c r="AA63" s="72">
        <f>+Y63-Z63</f>
        <v>1668480</v>
      </c>
      <c r="AB63" s="78">
        <f>PMT(+Z57/12, +AB58, -AA63)</f>
        <v>38822.611177186387</v>
      </c>
      <c r="AC63" s="78">
        <f>PMT(+Z57/12, +AC58, -AA63)</f>
        <v>34380.264211548143</v>
      </c>
      <c r="AD63" s="78">
        <f>PMT(+Z57/12, +AD58, -AA63)</f>
        <v>25905.894153706493</v>
      </c>
    </row>
    <row r="65" spans="21:32">
      <c r="V65" s="74">
        <f>SUM(V60:V64)</f>
        <v>2973</v>
      </c>
      <c r="W65" s="74"/>
      <c r="X65" s="74">
        <f>SUM(X59:X64)</f>
        <v>10140</v>
      </c>
      <c r="Y65" s="74">
        <f>SUM(Y59:Y64)</f>
        <v>12646260</v>
      </c>
      <c r="Z65" s="74">
        <f>SUM(Z59:Z63)</f>
        <v>1809252</v>
      </c>
      <c r="AB65" s="74">
        <f>SUM(AB60:AB63)</f>
        <v>140470.61652376031</v>
      </c>
      <c r="AC65" s="74">
        <f>SUM(AC59:AC64)</f>
        <v>210522.66561100719</v>
      </c>
      <c r="AD65" s="74"/>
      <c r="AE65" s="74">
        <f>SUM(AE59:AE64)</f>
        <v>0</v>
      </c>
    </row>
    <row r="66" spans="21:32">
      <c r="AC66" s="74">
        <f>+Y65</f>
        <v>12646260</v>
      </c>
      <c r="AD66" s="74"/>
      <c r="AE66" s="74">
        <f>+Y65</f>
        <v>12646260</v>
      </c>
    </row>
    <row r="67" spans="21:32">
      <c r="X67" t="s">
        <v>533</v>
      </c>
      <c r="Y67" s="74">
        <f>+Y65*0.97</f>
        <v>12266872.199999999</v>
      </c>
    </row>
    <row r="68" spans="21:32">
      <c r="V68" s="82"/>
      <c r="AC68" s="74">
        <f>+AC66+AC65*AB58</f>
        <v>25277619.936660431</v>
      </c>
      <c r="AD68" s="74"/>
      <c r="AE68" s="74">
        <f>+AE66+AE65*AC58</f>
        <v>12646260</v>
      </c>
    </row>
    <row r="69" spans="21:32">
      <c r="W69">
        <v>45</v>
      </c>
      <c r="X69">
        <f>+W69*60</f>
        <v>2700</v>
      </c>
    </row>
    <row r="70" spans="21:32">
      <c r="V70">
        <f>+AA59*0.14/12</f>
        <v>56000.000000000007</v>
      </c>
      <c r="W70">
        <v>42</v>
      </c>
      <c r="X70">
        <f>+W70*60</f>
        <v>2520</v>
      </c>
    </row>
    <row r="71" spans="21:32">
      <c r="W71">
        <v>40</v>
      </c>
      <c r="X71">
        <f>+W71*60</f>
        <v>2400</v>
      </c>
    </row>
    <row r="80" spans="21:32" ht="18.5">
      <c r="U80" s="194" t="s">
        <v>311</v>
      </c>
      <c r="V80" s="194"/>
      <c r="W80" s="194"/>
      <c r="X80" s="194"/>
      <c r="Y80" s="194"/>
      <c r="Z80" s="194"/>
      <c r="AA80" s="194"/>
      <c r="AB80" s="194"/>
      <c r="AC80" s="194"/>
      <c r="AD80" s="194"/>
      <c r="AE80" s="194"/>
      <c r="AF80" s="194"/>
    </row>
    <row r="81" spans="21:51" ht="15.5">
      <c r="U81" s="62"/>
      <c r="V81" s="62"/>
      <c r="W81" s="62"/>
      <c r="X81" s="62"/>
      <c r="Y81" s="63" t="s">
        <v>302</v>
      </c>
      <c r="Z81" s="64">
        <v>0.12</v>
      </c>
      <c r="AA81" s="62"/>
      <c r="AB81" s="62"/>
      <c r="AC81" s="65" t="s">
        <v>303</v>
      </c>
      <c r="AD81" s="76"/>
      <c r="AE81" s="66"/>
      <c r="AF81" s="62"/>
    </row>
    <row r="82" spans="21:51" ht="32" customHeight="1">
      <c r="U82" s="67"/>
      <c r="V82" s="68" t="s">
        <v>304</v>
      </c>
      <c r="W82" s="69" t="s">
        <v>307</v>
      </c>
      <c r="X82" s="69" t="s">
        <v>317</v>
      </c>
      <c r="Y82" s="69" t="s">
        <v>310</v>
      </c>
      <c r="Z82" s="68">
        <v>60</v>
      </c>
      <c r="AA82" s="68">
        <v>72</v>
      </c>
      <c r="AB82" s="68">
        <v>120</v>
      </c>
    </row>
    <row r="83" spans="21:51" ht="15.5">
      <c r="U83" s="71" t="s">
        <v>318</v>
      </c>
      <c r="V83" s="12">
        <v>1327</v>
      </c>
      <c r="W83" s="72">
        <v>4800000</v>
      </c>
      <c r="X83" s="72">
        <v>1000000</v>
      </c>
      <c r="Y83" s="72">
        <f>+W83-X83</f>
        <v>3800000</v>
      </c>
      <c r="Z83" s="72">
        <f>(+Y83+(Y83*Z81*Z82/12))/Z82</f>
        <v>101333.33333333333</v>
      </c>
      <c r="AA83" s="72">
        <f>(+Y83+(Y83*Z81*AA82/12))/AA82</f>
        <v>90777.777777777781</v>
      </c>
      <c r="AB83" s="72">
        <v>59000</v>
      </c>
    </row>
    <row r="92" spans="21:51">
      <c r="Y92">
        <f>200000/1972000</f>
        <v>0.10141987829614604</v>
      </c>
    </row>
    <row r="95" spans="21:51" ht="18.5">
      <c r="AO95" s="194" t="s">
        <v>311</v>
      </c>
      <c r="AP95" s="194"/>
      <c r="AQ95" s="194"/>
      <c r="AR95" s="194"/>
      <c r="AS95" s="194"/>
      <c r="AT95" s="194"/>
      <c r="AU95" s="194"/>
      <c r="AV95" s="194"/>
      <c r="AW95" s="194"/>
      <c r="AX95" s="194"/>
      <c r="AY95" s="194"/>
    </row>
    <row r="96" spans="21:51" ht="15.5">
      <c r="AO96" s="62"/>
      <c r="AP96" s="62"/>
      <c r="AQ96" s="62"/>
      <c r="AR96" s="62"/>
      <c r="AS96" s="63" t="s">
        <v>302</v>
      </c>
      <c r="AT96" s="64">
        <v>0.12</v>
      </c>
      <c r="AU96" s="62"/>
      <c r="AV96" s="62"/>
      <c r="AW96" s="65" t="s">
        <v>303</v>
      </c>
      <c r="AX96" s="66"/>
      <c r="AY96" s="62"/>
    </row>
    <row r="97" spans="41:48" ht="29">
      <c r="AO97" s="67"/>
      <c r="AP97" s="68" t="s">
        <v>304</v>
      </c>
      <c r="AQ97" s="69" t="s">
        <v>307</v>
      </c>
      <c r="AR97" s="69" t="s">
        <v>317</v>
      </c>
      <c r="AS97" s="69" t="s">
        <v>310</v>
      </c>
      <c r="AT97" s="68">
        <v>60</v>
      </c>
      <c r="AU97" s="68">
        <v>72</v>
      </c>
      <c r="AV97" s="68">
        <v>120</v>
      </c>
    </row>
    <row r="98" spans="41:48" ht="15.5">
      <c r="AO98" s="71" t="s">
        <v>318</v>
      </c>
      <c r="AP98" s="12">
        <v>1327</v>
      </c>
      <c r="AQ98" s="72">
        <v>4800000</v>
      </c>
      <c r="AR98" s="72">
        <v>1000000</v>
      </c>
      <c r="AS98" s="72">
        <f>+AQ98-AR98</f>
        <v>3800000</v>
      </c>
      <c r="AT98" s="72">
        <f>(+AS98+(AS98*AT96*AT97/12))/AT97</f>
        <v>101333.33333333333</v>
      </c>
      <c r="AU98" s="72">
        <f>(+AS98+(AS98*AT96*AU97/12))/AU97</f>
        <v>90777.777777777781</v>
      </c>
      <c r="AV98" s="72">
        <f>(+AS98+(AS98*AT96*AV97/12))/AV97</f>
        <v>69666.666666666672</v>
      </c>
    </row>
  </sheetData>
  <mergeCells count="5">
    <mergeCell ref="C1:I1"/>
    <mergeCell ref="U40:AE40"/>
    <mergeCell ref="U56:AF56"/>
    <mergeCell ref="U80:AF80"/>
    <mergeCell ref="AO95:AY95"/>
  </mergeCells>
  <pageMargins left="0.7" right="0.7" top="0.75" bottom="0.75" header="0.511811023622047" footer="0.511811023622047"/>
  <pageSetup orientation="portrait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41:J129"/>
  <sheetViews>
    <sheetView topLeftCell="A62" zoomScaleNormal="100" workbookViewId="0">
      <selection activeCell="C78" sqref="C78"/>
    </sheetView>
  </sheetViews>
  <sheetFormatPr baseColWidth="10" defaultColWidth="11.453125" defaultRowHeight="14.5"/>
  <cols>
    <col min="2" max="2" width="40.08984375" customWidth="1"/>
    <col min="3" max="3" width="21.26953125" style="118" customWidth="1"/>
  </cols>
  <sheetData>
    <row r="41" spans="1:10">
      <c r="B41" s="215" t="s">
        <v>559</v>
      </c>
      <c r="C41" s="215"/>
    </row>
    <row r="42" spans="1:10" ht="21">
      <c r="A42">
        <v>1</v>
      </c>
      <c r="B42" s="96" t="s">
        <v>561</v>
      </c>
      <c r="C42" s="119" t="s">
        <v>562</v>
      </c>
      <c r="D42" s="95"/>
      <c r="G42" s="92" t="s">
        <v>560</v>
      </c>
    </row>
    <row r="43" spans="1:10" ht="18">
      <c r="A43">
        <f>+A42+1</f>
        <v>2</v>
      </c>
      <c r="B43" s="96" t="s">
        <v>567</v>
      </c>
      <c r="C43" s="119" t="s">
        <v>762</v>
      </c>
      <c r="D43" s="95"/>
    </row>
    <row r="44" spans="1:10" ht="21">
      <c r="A44">
        <f t="shared" ref="A44:A105" si="0">+A43+1</f>
        <v>3</v>
      </c>
      <c r="B44" s="96" t="s">
        <v>570</v>
      </c>
      <c r="C44" s="119" t="s">
        <v>571</v>
      </c>
      <c r="D44" s="95"/>
      <c r="G44" s="92" t="s">
        <v>563</v>
      </c>
    </row>
    <row r="45" spans="1:10" ht="35">
      <c r="A45">
        <f t="shared" si="0"/>
        <v>4</v>
      </c>
      <c r="B45" s="96" t="s">
        <v>576</v>
      </c>
      <c r="C45" s="119" t="s">
        <v>574</v>
      </c>
      <c r="D45" s="95"/>
      <c r="G45" s="92"/>
      <c r="J45" s="92" t="s">
        <v>568</v>
      </c>
    </row>
    <row r="46" spans="1:10" ht="18">
      <c r="A46">
        <f t="shared" si="0"/>
        <v>5</v>
      </c>
      <c r="B46" s="96" t="s">
        <v>596</v>
      </c>
      <c r="C46" s="119" t="s">
        <v>761</v>
      </c>
      <c r="D46" s="95"/>
      <c r="G46" s="92" t="s">
        <v>564</v>
      </c>
      <c r="J46" s="92"/>
    </row>
    <row r="47" spans="1:10" ht="18">
      <c r="A47">
        <f t="shared" si="0"/>
        <v>6</v>
      </c>
      <c r="B47" s="96" t="s">
        <v>590</v>
      </c>
      <c r="C47" s="119" t="s">
        <v>760</v>
      </c>
      <c r="D47" s="95"/>
      <c r="G47" s="92"/>
      <c r="J47" s="92" t="s">
        <v>569</v>
      </c>
    </row>
    <row r="48" spans="1:10" ht="29">
      <c r="A48">
        <f t="shared" si="0"/>
        <v>7</v>
      </c>
      <c r="B48" s="96" t="s">
        <v>599</v>
      </c>
      <c r="C48" s="119" t="s">
        <v>759</v>
      </c>
      <c r="G48" s="94" t="s">
        <v>565</v>
      </c>
    </row>
    <row r="49" spans="1:10" ht="18">
      <c r="A49">
        <f t="shared" si="0"/>
        <v>8</v>
      </c>
      <c r="B49" s="96" t="s">
        <v>602</v>
      </c>
      <c r="C49" s="119" t="s">
        <v>758</v>
      </c>
      <c r="G49" s="92"/>
    </row>
    <row r="50" spans="1:10" ht="18">
      <c r="A50">
        <f t="shared" si="0"/>
        <v>9</v>
      </c>
      <c r="B50" s="96" t="s">
        <v>604</v>
      </c>
      <c r="C50" s="119" t="s">
        <v>757</v>
      </c>
      <c r="G50" s="92" t="s">
        <v>566</v>
      </c>
      <c r="J50" s="93" t="s">
        <v>572</v>
      </c>
    </row>
    <row r="51" spans="1:10" ht="18">
      <c r="A51">
        <f t="shared" si="0"/>
        <v>10</v>
      </c>
      <c r="B51" s="96" t="s">
        <v>607</v>
      </c>
      <c r="C51" s="119" t="s">
        <v>756</v>
      </c>
      <c r="J51" s="92"/>
    </row>
    <row r="52" spans="1:10" ht="21">
      <c r="A52">
        <f t="shared" si="0"/>
        <v>11</v>
      </c>
      <c r="B52" s="96" t="s">
        <v>618</v>
      </c>
      <c r="C52" s="119" t="s">
        <v>755</v>
      </c>
      <c r="J52" s="92" t="s">
        <v>573</v>
      </c>
    </row>
    <row r="53" spans="1:10" ht="18">
      <c r="A53">
        <f t="shared" si="0"/>
        <v>12</v>
      </c>
      <c r="B53" s="96" t="s">
        <v>620</v>
      </c>
      <c r="C53" s="119" t="s">
        <v>754</v>
      </c>
      <c r="J53" s="92"/>
    </row>
    <row r="54" spans="1:10" ht="18">
      <c r="A54">
        <f t="shared" si="0"/>
        <v>13</v>
      </c>
      <c r="B54" s="96" t="s">
        <v>622</v>
      </c>
      <c r="C54" s="119" t="s">
        <v>753</v>
      </c>
      <c r="J54" s="92" t="s">
        <v>574</v>
      </c>
    </row>
    <row r="55" spans="1:10" ht="18">
      <c r="A55">
        <f t="shared" si="0"/>
        <v>14</v>
      </c>
      <c r="B55" s="96" t="s">
        <v>625</v>
      </c>
      <c r="C55" s="119" t="s">
        <v>752</v>
      </c>
      <c r="J55" s="92"/>
    </row>
    <row r="56" spans="1:10" ht="43.5">
      <c r="A56">
        <f t="shared" si="0"/>
        <v>15</v>
      </c>
      <c r="B56" s="96" t="s">
        <v>630</v>
      </c>
      <c r="C56" s="119" t="s">
        <v>744</v>
      </c>
      <c r="J56" s="94" t="s">
        <v>575</v>
      </c>
    </row>
    <row r="57" spans="1:10" ht="18">
      <c r="A57">
        <f t="shared" si="0"/>
        <v>16</v>
      </c>
      <c r="B57" s="96" t="s">
        <v>633</v>
      </c>
      <c r="C57" s="119" t="s">
        <v>745</v>
      </c>
    </row>
    <row r="58" spans="1:10" ht="18">
      <c r="A58">
        <f t="shared" si="0"/>
        <v>17</v>
      </c>
      <c r="B58" s="96" t="s">
        <v>635</v>
      </c>
      <c r="C58" s="119" t="s">
        <v>746</v>
      </c>
    </row>
    <row r="59" spans="1:10" ht="18">
      <c r="A59">
        <f t="shared" si="0"/>
        <v>18</v>
      </c>
      <c r="B59" s="96" t="s">
        <v>639</v>
      </c>
      <c r="C59" s="119" t="s">
        <v>747</v>
      </c>
    </row>
    <row r="60" spans="1:10" ht="18">
      <c r="A60">
        <f t="shared" si="0"/>
        <v>19</v>
      </c>
      <c r="B60" s="96" t="s">
        <v>642</v>
      </c>
      <c r="C60" s="119" t="s">
        <v>748</v>
      </c>
    </row>
    <row r="61" spans="1:10" ht="18">
      <c r="A61">
        <f t="shared" si="0"/>
        <v>20</v>
      </c>
      <c r="B61" s="96" t="s">
        <v>644</v>
      </c>
      <c r="C61" s="119" t="s">
        <v>749</v>
      </c>
    </row>
    <row r="62" spans="1:10" ht="18">
      <c r="A62">
        <f t="shared" si="0"/>
        <v>21</v>
      </c>
      <c r="B62" s="96" t="s">
        <v>687</v>
      </c>
      <c r="C62" s="119" t="s">
        <v>750</v>
      </c>
    </row>
    <row r="63" spans="1:10" ht="18">
      <c r="A63">
        <f t="shared" si="0"/>
        <v>22</v>
      </c>
      <c r="B63" s="96" t="s">
        <v>649</v>
      </c>
      <c r="C63" s="119" t="s">
        <v>751</v>
      </c>
    </row>
    <row r="64" spans="1:10" ht="18">
      <c r="A64">
        <f t="shared" si="0"/>
        <v>23</v>
      </c>
      <c r="B64" s="96" t="s">
        <v>688</v>
      </c>
      <c r="C64" s="119" t="s">
        <v>728</v>
      </c>
    </row>
    <row r="65" spans="1:3" ht="18">
      <c r="A65">
        <f t="shared" si="0"/>
        <v>24</v>
      </c>
      <c r="B65" s="96" t="s">
        <v>689</v>
      </c>
      <c r="C65" s="119" t="s">
        <v>727</v>
      </c>
    </row>
    <row r="66" spans="1:3" ht="18">
      <c r="A66">
        <f t="shared" si="0"/>
        <v>25</v>
      </c>
      <c r="B66" s="96" t="s">
        <v>690</v>
      </c>
      <c r="C66" s="119" t="s">
        <v>726</v>
      </c>
    </row>
    <row r="67" spans="1:3" ht="18">
      <c r="A67">
        <f t="shared" si="0"/>
        <v>26</v>
      </c>
      <c r="B67" s="96" t="s">
        <v>691</v>
      </c>
      <c r="C67" s="119" t="s">
        <v>725</v>
      </c>
    </row>
    <row r="68" spans="1:3" ht="18">
      <c r="A68">
        <f t="shared" si="0"/>
        <v>27</v>
      </c>
      <c r="B68" s="96" t="s">
        <v>692</v>
      </c>
      <c r="C68" s="119" t="s">
        <v>724</v>
      </c>
    </row>
    <row r="69" spans="1:3" ht="18">
      <c r="A69">
        <f t="shared" si="0"/>
        <v>28</v>
      </c>
      <c r="B69" s="96" t="s">
        <v>693</v>
      </c>
      <c r="C69" s="119" t="s">
        <v>723</v>
      </c>
    </row>
    <row r="70" spans="1:3" ht="18">
      <c r="A70">
        <f t="shared" si="0"/>
        <v>29</v>
      </c>
      <c r="B70" s="96" t="s">
        <v>694</v>
      </c>
      <c r="C70" s="119" t="s">
        <v>722</v>
      </c>
    </row>
    <row r="71" spans="1:3" ht="18">
      <c r="A71">
        <f t="shared" si="0"/>
        <v>30</v>
      </c>
      <c r="B71" s="96" t="s">
        <v>695</v>
      </c>
      <c r="C71" s="119" t="s">
        <v>721</v>
      </c>
    </row>
    <row r="72" spans="1:3" ht="18">
      <c r="A72">
        <f t="shared" si="0"/>
        <v>31</v>
      </c>
      <c r="B72" s="96" t="s">
        <v>696</v>
      </c>
      <c r="C72" s="119" t="s">
        <v>720</v>
      </c>
    </row>
    <row r="73" spans="1:3" ht="18">
      <c r="A73">
        <f t="shared" si="0"/>
        <v>32</v>
      </c>
      <c r="B73" s="96" t="s">
        <v>697</v>
      </c>
      <c r="C73" s="119" t="s">
        <v>716</v>
      </c>
    </row>
    <row r="74" spans="1:3" ht="18">
      <c r="A74">
        <f t="shared" si="0"/>
        <v>33</v>
      </c>
      <c r="B74" s="96" t="s">
        <v>698</v>
      </c>
      <c r="C74" s="119" t="s">
        <v>717</v>
      </c>
    </row>
    <row r="75" spans="1:3" ht="18">
      <c r="A75">
        <f t="shared" si="0"/>
        <v>34</v>
      </c>
      <c r="B75" s="96" t="s">
        <v>699</v>
      </c>
      <c r="C75" s="119" t="s">
        <v>718</v>
      </c>
    </row>
    <row r="76" spans="1:3" ht="18">
      <c r="A76">
        <f t="shared" si="0"/>
        <v>35</v>
      </c>
      <c r="B76" s="96" t="s">
        <v>700</v>
      </c>
      <c r="C76" s="119" t="s">
        <v>719</v>
      </c>
    </row>
    <row r="77" spans="1:3" ht="18">
      <c r="A77">
        <f t="shared" si="0"/>
        <v>36</v>
      </c>
      <c r="B77" s="96" t="s">
        <v>701</v>
      </c>
      <c r="C77" s="119" t="s">
        <v>743</v>
      </c>
    </row>
    <row r="78" spans="1:3" ht="18">
      <c r="A78">
        <f t="shared" si="0"/>
        <v>37</v>
      </c>
      <c r="B78" s="96" t="s">
        <v>702</v>
      </c>
      <c r="C78" s="119" t="s">
        <v>742</v>
      </c>
    </row>
    <row r="79" spans="1:3" ht="18">
      <c r="A79">
        <f t="shared" si="0"/>
        <v>38</v>
      </c>
      <c r="B79" s="96" t="s">
        <v>703</v>
      </c>
      <c r="C79" s="119" t="s">
        <v>741</v>
      </c>
    </row>
    <row r="80" spans="1:3" ht="18">
      <c r="A80">
        <f t="shared" si="0"/>
        <v>39</v>
      </c>
      <c r="B80" s="96" t="s">
        <v>704</v>
      </c>
      <c r="C80" s="119" t="s">
        <v>740</v>
      </c>
    </row>
    <row r="81" spans="1:3" ht="18">
      <c r="A81">
        <f t="shared" si="0"/>
        <v>40</v>
      </c>
      <c r="B81" s="96" t="s">
        <v>705</v>
      </c>
      <c r="C81" s="119" t="s">
        <v>739</v>
      </c>
    </row>
    <row r="82" spans="1:3" ht="18">
      <c r="A82">
        <f t="shared" si="0"/>
        <v>41</v>
      </c>
      <c r="B82" s="96" t="s">
        <v>706</v>
      </c>
      <c r="C82" s="119" t="s">
        <v>729</v>
      </c>
    </row>
    <row r="83" spans="1:3" ht="18">
      <c r="A83">
        <f t="shared" si="0"/>
        <v>42</v>
      </c>
      <c r="B83" s="96" t="s">
        <v>707</v>
      </c>
      <c r="C83" s="119" t="s">
        <v>730</v>
      </c>
    </row>
    <row r="84" spans="1:3" ht="18">
      <c r="A84">
        <f t="shared" si="0"/>
        <v>43</v>
      </c>
      <c r="B84" s="96" t="s">
        <v>708</v>
      </c>
      <c r="C84" s="119" t="s">
        <v>731</v>
      </c>
    </row>
    <row r="85" spans="1:3" ht="18">
      <c r="A85">
        <f t="shared" si="0"/>
        <v>44</v>
      </c>
      <c r="B85" s="96" t="s">
        <v>709</v>
      </c>
      <c r="C85" s="119" t="s">
        <v>732</v>
      </c>
    </row>
    <row r="86" spans="1:3" ht="18">
      <c r="A86">
        <f t="shared" si="0"/>
        <v>45</v>
      </c>
      <c r="B86" s="96" t="s">
        <v>710</v>
      </c>
      <c r="C86" s="119" t="s">
        <v>733</v>
      </c>
    </row>
    <row r="87" spans="1:3" ht="18">
      <c r="A87">
        <f t="shared" si="0"/>
        <v>46</v>
      </c>
      <c r="B87" s="96" t="s">
        <v>711</v>
      </c>
      <c r="C87" s="119" t="s">
        <v>734</v>
      </c>
    </row>
    <row r="88" spans="1:3" ht="18">
      <c r="A88">
        <f t="shared" si="0"/>
        <v>47</v>
      </c>
      <c r="B88" s="96" t="s">
        <v>712</v>
      </c>
      <c r="C88" s="119" t="s">
        <v>735</v>
      </c>
    </row>
    <row r="89" spans="1:3" ht="18">
      <c r="A89">
        <f t="shared" si="0"/>
        <v>48</v>
      </c>
      <c r="B89" s="96" t="s">
        <v>713</v>
      </c>
      <c r="C89" s="119" t="s">
        <v>736</v>
      </c>
    </row>
    <row r="90" spans="1:3" ht="18">
      <c r="A90">
        <f t="shared" si="0"/>
        <v>49</v>
      </c>
      <c r="B90" s="96" t="s">
        <v>714</v>
      </c>
      <c r="C90" s="119" t="s">
        <v>738</v>
      </c>
    </row>
    <row r="91" spans="1:3" ht="18">
      <c r="A91">
        <f t="shared" si="0"/>
        <v>50</v>
      </c>
      <c r="B91" s="96" t="s">
        <v>715</v>
      </c>
      <c r="C91" s="119" t="s">
        <v>737</v>
      </c>
    </row>
    <row r="92" spans="1:3" ht="18">
      <c r="A92">
        <f t="shared" si="0"/>
        <v>51</v>
      </c>
      <c r="B92" s="96"/>
      <c r="C92" s="119"/>
    </row>
    <row r="93" spans="1:3">
      <c r="A93">
        <f t="shared" si="0"/>
        <v>52</v>
      </c>
      <c r="B93" s="14"/>
      <c r="C93" s="120"/>
    </row>
    <row r="94" spans="1:3">
      <c r="A94">
        <f t="shared" si="0"/>
        <v>53</v>
      </c>
      <c r="B94" s="14"/>
      <c r="C94" s="120"/>
    </row>
    <row r="95" spans="1:3">
      <c r="A95">
        <f t="shared" si="0"/>
        <v>54</v>
      </c>
      <c r="B95" s="14"/>
      <c r="C95" s="120"/>
    </row>
    <row r="96" spans="1:3">
      <c r="A96">
        <f t="shared" si="0"/>
        <v>55</v>
      </c>
      <c r="B96" s="14"/>
      <c r="C96" s="120"/>
    </row>
    <row r="97" spans="1:3">
      <c r="A97">
        <f t="shared" si="0"/>
        <v>56</v>
      </c>
      <c r="B97" s="14"/>
      <c r="C97" s="120"/>
    </row>
    <row r="98" spans="1:3">
      <c r="A98">
        <f t="shared" si="0"/>
        <v>57</v>
      </c>
      <c r="B98" s="14"/>
      <c r="C98" s="120"/>
    </row>
    <row r="99" spans="1:3">
      <c r="A99">
        <f t="shared" si="0"/>
        <v>58</v>
      </c>
      <c r="B99" s="14"/>
      <c r="C99" s="120"/>
    </row>
    <row r="100" spans="1:3">
      <c r="A100">
        <f t="shared" si="0"/>
        <v>59</v>
      </c>
      <c r="B100" s="14"/>
      <c r="C100" s="120"/>
    </row>
    <row r="101" spans="1:3">
      <c r="A101">
        <f t="shared" si="0"/>
        <v>60</v>
      </c>
      <c r="B101" s="14"/>
      <c r="C101" s="120"/>
    </row>
    <row r="102" spans="1:3">
      <c r="A102">
        <f t="shared" si="0"/>
        <v>61</v>
      </c>
      <c r="B102" s="14"/>
      <c r="C102" s="120"/>
    </row>
    <row r="103" spans="1:3">
      <c r="A103">
        <f t="shared" si="0"/>
        <v>62</v>
      </c>
      <c r="B103" s="14"/>
      <c r="C103" s="120"/>
    </row>
    <row r="104" spans="1:3">
      <c r="A104">
        <f t="shared" si="0"/>
        <v>63</v>
      </c>
      <c r="B104" s="14"/>
      <c r="C104" s="120"/>
    </row>
    <row r="105" spans="1:3">
      <c r="A105">
        <f t="shared" si="0"/>
        <v>64</v>
      </c>
      <c r="B105" s="14"/>
      <c r="C105" s="120"/>
    </row>
    <row r="106" spans="1:3">
      <c r="B106" s="14"/>
      <c r="C106" s="120"/>
    </row>
    <row r="107" spans="1:3">
      <c r="B107" s="14"/>
      <c r="C107" s="120"/>
    </row>
    <row r="108" spans="1:3">
      <c r="B108" s="14"/>
      <c r="C108" s="120"/>
    </row>
    <row r="109" spans="1:3">
      <c r="B109" s="14"/>
      <c r="C109" s="120"/>
    </row>
    <row r="110" spans="1:3">
      <c r="B110" s="14"/>
      <c r="C110" s="120"/>
    </row>
    <row r="111" spans="1:3">
      <c r="B111" s="14"/>
      <c r="C111" s="120"/>
    </row>
    <row r="112" spans="1:3">
      <c r="B112" s="14"/>
      <c r="C112" s="120"/>
    </row>
    <row r="113" spans="2:3">
      <c r="B113" s="14"/>
      <c r="C113" s="120"/>
    </row>
    <row r="114" spans="2:3">
      <c r="B114" s="14"/>
      <c r="C114" s="120"/>
    </row>
    <row r="115" spans="2:3">
      <c r="B115" s="14"/>
      <c r="C115" s="120"/>
    </row>
    <row r="116" spans="2:3">
      <c r="B116" s="14"/>
      <c r="C116" s="120"/>
    </row>
    <row r="117" spans="2:3">
      <c r="B117" s="14"/>
      <c r="C117" s="120"/>
    </row>
    <row r="118" spans="2:3">
      <c r="B118" s="14"/>
      <c r="C118" s="120"/>
    </row>
    <row r="119" spans="2:3">
      <c r="B119" s="14"/>
      <c r="C119" s="120"/>
    </row>
    <row r="120" spans="2:3">
      <c r="B120" s="14"/>
      <c r="C120" s="120"/>
    </row>
    <row r="121" spans="2:3">
      <c r="B121" s="14"/>
      <c r="C121" s="120"/>
    </row>
    <row r="122" spans="2:3">
      <c r="B122" s="14"/>
      <c r="C122" s="120"/>
    </row>
    <row r="123" spans="2:3">
      <c r="B123" s="14"/>
      <c r="C123" s="120"/>
    </row>
    <row r="124" spans="2:3">
      <c r="B124" s="14"/>
      <c r="C124" s="120"/>
    </row>
    <row r="125" spans="2:3">
      <c r="B125" s="14"/>
      <c r="C125" s="120"/>
    </row>
    <row r="126" spans="2:3">
      <c r="B126" s="14"/>
      <c r="C126" s="120"/>
    </row>
    <row r="127" spans="2:3">
      <c r="B127" s="14"/>
      <c r="C127" s="120"/>
    </row>
    <row r="128" spans="2:3">
      <c r="B128" s="14"/>
      <c r="C128" s="120"/>
    </row>
    <row r="129" spans="2:3">
      <c r="B129" s="14"/>
      <c r="C129" s="120"/>
    </row>
  </sheetData>
  <mergeCells count="1">
    <mergeCell ref="B41:C41"/>
  </mergeCells>
  <hyperlinks>
    <hyperlink ref="G48" r:id="rId1" display="https://l.facebook.com/l.php?u=https%3A%2F%2Fwww.instagram.com%2Fraicesdelyuna%3Ffbclid%3DIwZXh0bgNhZW0CMTAAAR3Wc0uvj9wJ-g49dOWM1XlpV8WWNbJi2uAnpExUKllvh3Y94vqD7-gfcSE_aem_uzIufP6BZ5Zw9qObpFJTyQ&amp;h=AT28pi_U0lv4Zxu0ClnUb_QlW9d3D9bXAYa6Uw7dMVazLRPds-s10Y-wXVHaUpuPcfK-tfLzWD0cx8qbL32zz62kkKR0XiXZ2qE4dgPbc4vohaVH4uzLOx_0XF8v91tBDg"/>
    <hyperlink ref="J56" r:id="rId2" display="https://www.facebook.com/profile.php?id=100070284408285&amp;sk=reviews"/>
  </hyperlinks>
  <pageMargins left="0.7" right="0.7" top="0.75" bottom="0.75" header="0.511811023622047" footer="0.511811023622047"/>
  <pageSetup orientation="portrait" horizontalDpi="300" verticalDpi="300"/>
  <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/>
  <dimension ref="E5:E357"/>
  <sheetViews>
    <sheetView topLeftCell="A25" workbookViewId="0">
      <selection activeCell="E40" sqref="E40"/>
    </sheetView>
  </sheetViews>
  <sheetFormatPr baseColWidth="10" defaultRowHeight="14.5"/>
  <sheetData>
    <row r="5" spans="5:5">
      <c r="E5" s="98" t="s">
        <v>577</v>
      </c>
    </row>
    <row r="6" spans="5:5" ht="21">
      <c r="E6" s="99" t="s">
        <v>578</v>
      </c>
    </row>
    <row r="7" spans="5:5">
      <c r="E7" s="100"/>
    </row>
    <row r="8" spans="5:5" ht="29">
      <c r="E8" s="102" t="s">
        <v>579</v>
      </c>
    </row>
    <row r="9" spans="5:5" ht="29">
      <c r="E9" s="102" t="s">
        <v>580</v>
      </c>
    </row>
    <row r="10" spans="5:5" ht="29">
      <c r="E10" s="102" t="s">
        <v>581</v>
      </c>
    </row>
    <row r="11" spans="5:5" ht="29">
      <c r="E11" s="102" t="s">
        <v>582</v>
      </c>
    </row>
    <row r="12" spans="5:5" ht="29">
      <c r="E12" s="102" t="s">
        <v>583</v>
      </c>
    </row>
    <row r="13" spans="5:5">
      <c r="E13" s="101"/>
    </row>
    <row r="14" spans="5:5">
      <c r="E14" s="103" t="s">
        <v>584</v>
      </c>
    </row>
    <row r="15" spans="5:5">
      <c r="E15" s="102" t="s">
        <v>585</v>
      </c>
    </row>
    <row r="16" spans="5:5">
      <c r="E16" s="104"/>
    </row>
    <row r="17" spans="5:5">
      <c r="E17" s="104" t="s">
        <v>586</v>
      </c>
    </row>
    <row r="18" spans="5:5">
      <c r="E18" s="104"/>
    </row>
    <row r="19" spans="5:5">
      <c r="E19" s="105" t="s">
        <v>587</v>
      </c>
    </row>
    <row r="20" spans="5:5" ht="66">
      <c r="E20" s="106" t="s">
        <v>588</v>
      </c>
    </row>
    <row r="21" spans="5:5">
      <c r="E21" s="107"/>
    </row>
    <row r="22" spans="5:5" ht="30">
      <c r="E22" s="108" t="s">
        <v>589</v>
      </c>
    </row>
    <row r="23" spans="5:5">
      <c r="E23" s="109"/>
    </row>
    <row r="24" spans="5:5" ht="29">
      <c r="E24" s="94" t="s">
        <v>590</v>
      </c>
    </row>
    <row r="25" spans="5:5" ht="409.5">
      <c r="E25" s="110" t="s">
        <v>591</v>
      </c>
    </row>
    <row r="26" spans="5:5">
      <c r="E26" s="111" t="s">
        <v>592</v>
      </c>
    </row>
    <row r="27" spans="5:5">
      <c r="E27" s="112">
        <v>8096898981</v>
      </c>
    </row>
    <row r="28" spans="5:5">
      <c r="E28" s="111" t="s">
        <v>593</v>
      </c>
    </row>
    <row r="29" spans="5:5">
      <c r="E29" s="112">
        <v>8097279686</v>
      </c>
    </row>
    <row r="30" spans="5:5">
      <c r="E30" s="111" t="s">
        <v>594</v>
      </c>
    </row>
    <row r="31" spans="5:5" ht="188.5">
      <c r="E31" s="113" t="s">
        <v>595</v>
      </c>
    </row>
    <row r="32" spans="5:5">
      <c r="E32" s="109"/>
    </row>
    <row r="33" spans="5:5" ht="43.5">
      <c r="E33" s="94" t="s">
        <v>596</v>
      </c>
    </row>
    <row r="34" spans="5:5" ht="409.5">
      <c r="E34" s="110" t="s">
        <v>597</v>
      </c>
    </row>
    <row r="35" spans="5:5">
      <c r="E35" s="111" t="s">
        <v>592</v>
      </c>
    </row>
    <row r="36" spans="5:5">
      <c r="E36" s="112">
        <v>8099035974</v>
      </c>
    </row>
    <row r="37" spans="5:5">
      <c r="E37" s="111" t="s">
        <v>593</v>
      </c>
    </row>
    <row r="38" spans="5:5">
      <c r="E38" s="112">
        <v>8093107881</v>
      </c>
    </row>
    <row r="39" spans="5:5">
      <c r="E39" s="111" t="s">
        <v>594</v>
      </c>
    </row>
    <row r="40" spans="5:5" ht="188.5">
      <c r="E40" s="113" t="s">
        <v>598</v>
      </c>
    </row>
    <row r="41" spans="5:5">
      <c r="E41" s="109"/>
    </row>
    <row r="42" spans="5:5" ht="29">
      <c r="E42" s="94" t="s">
        <v>599</v>
      </c>
    </row>
    <row r="43" spans="5:5" ht="261">
      <c r="E43" s="110" t="s">
        <v>600</v>
      </c>
    </row>
    <row r="44" spans="5:5">
      <c r="E44" s="111" t="s">
        <v>592</v>
      </c>
    </row>
    <row r="45" spans="5:5">
      <c r="E45" s="112">
        <v>8094304388</v>
      </c>
    </row>
    <row r="46" spans="5:5">
      <c r="E46" s="111" t="s">
        <v>593</v>
      </c>
    </row>
    <row r="47" spans="5:5">
      <c r="E47" s="112">
        <v>8094304388</v>
      </c>
    </row>
    <row r="48" spans="5:5">
      <c r="E48" s="111" t="s">
        <v>594</v>
      </c>
    </row>
    <row r="49" spans="5:5" ht="188.5">
      <c r="E49" s="113" t="s">
        <v>601</v>
      </c>
    </row>
    <row r="50" spans="5:5">
      <c r="E50" s="109"/>
    </row>
    <row r="51" spans="5:5" ht="29">
      <c r="E51" s="94" t="s">
        <v>602</v>
      </c>
    </row>
    <row r="52" spans="5:5" ht="409.5">
      <c r="E52" s="110" t="s">
        <v>597</v>
      </c>
    </row>
    <row r="53" spans="5:5">
      <c r="E53" s="111" t="s">
        <v>592</v>
      </c>
    </row>
    <row r="54" spans="5:5">
      <c r="E54" s="112">
        <v>8099035974</v>
      </c>
    </row>
    <row r="55" spans="5:5">
      <c r="E55" s="111" t="s">
        <v>593</v>
      </c>
    </row>
    <row r="56" spans="5:5">
      <c r="E56" s="112">
        <v>8296941414</v>
      </c>
    </row>
    <row r="57" spans="5:5">
      <c r="E57" s="111" t="s">
        <v>594</v>
      </c>
    </row>
    <row r="58" spans="5:5" ht="188.5">
      <c r="E58" s="113" t="s">
        <v>603</v>
      </c>
    </row>
    <row r="59" spans="5:5">
      <c r="E59" s="109"/>
    </row>
    <row r="60" spans="5:5" ht="58">
      <c r="E60" s="94" t="s">
        <v>604</v>
      </c>
    </row>
    <row r="61" spans="5:5" ht="409.5">
      <c r="E61" s="110" t="s">
        <v>605</v>
      </c>
    </row>
    <row r="62" spans="5:5">
      <c r="E62" s="111" t="s">
        <v>592</v>
      </c>
    </row>
    <row r="63" spans="5:5">
      <c r="E63" s="112">
        <v>8295696777</v>
      </c>
    </row>
    <row r="64" spans="5:5">
      <c r="E64" s="111" t="s">
        <v>593</v>
      </c>
    </row>
    <row r="65" spans="5:5">
      <c r="E65" s="112">
        <v>8295696777</v>
      </c>
    </row>
    <row r="66" spans="5:5">
      <c r="E66" s="111" t="s">
        <v>594</v>
      </c>
    </row>
    <row r="67" spans="5:5" ht="188.5">
      <c r="E67" s="113" t="s">
        <v>606</v>
      </c>
    </row>
    <row r="68" spans="5:5">
      <c r="E68" s="109"/>
    </row>
    <row r="69" spans="5:5" ht="29">
      <c r="E69" s="94" t="s">
        <v>607</v>
      </c>
    </row>
    <row r="70" spans="5:5" ht="217.5">
      <c r="E70" s="110" t="s">
        <v>608</v>
      </c>
    </row>
    <row r="71" spans="5:5">
      <c r="E71" s="111" t="s">
        <v>592</v>
      </c>
    </row>
    <row r="72" spans="5:5">
      <c r="E72" s="112">
        <v>8097244999</v>
      </c>
    </row>
    <row r="73" spans="5:5">
      <c r="E73" s="111" t="s">
        <v>593</v>
      </c>
    </row>
    <row r="74" spans="5:5">
      <c r="E74" s="112">
        <v>8098841409</v>
      </c>
    </row>
    <row r="75" spans="5:5">
      <c r="E75" s="111" t="s">
        <v>594</v>
      </c>
    </row>
    <row r="76" spans="5:5" ht="188.5">
      <c r="E76" s="113" t="s">
        <v>609</v>
      </c>
    </row>
    <row r="77" spans="5:5">
      <c r="E77" s="109"/>
    </row>
    <row r="78" spans="5:5" ht="43.5">
      <c r="E78" s="94" t="s">
        <v>610</v>
      </c>
    </row>
    <row r="79" spans="5:5" ht="409.5">
      <c r="E79" s="110" t="s">
        <v>597</v>
      </c>
    </row>
    <row r="80" spans="5:5">
      <c r="E80" s="111" t="s">
        <v>592</v>
      </c>
    </row>
    <row r="81" spans="5:5">
      <c r="E81" s="112">
        <v>8099035974</v>
      </c>
    </row>
    <row r="82" spans="5:5">
      <c r="E82" s="111" t="s">
        <v>593</v>
      </c>
    </row>
    <row r="83" spans="5:5">
      <c r="E83" s="112">
        <v>8294213031</v>
      </c>
    </row>
    <row r="84" spans="5:5">
      <c r="E84" s="111" t="s">
        <v>594</v>
      </c>
    </row>
    <row r="85" spans="5:5" ht="188.5">
      <c r="E85" s="113" t="s">
        <v>611</v>
      </c>
    </row>
    <row r="86" spans="5:5">
      <c r="E86" s="109"/>
    </row>
    <row r="87" spans="5:5" ht="29">
      <c r="E87" s="94" t="s">
        <v>612</v>
      </c>
    </row>
    <row r="88" spans="5:5" ht="409.5">
      <c r="E88" s="110" t="s">
        <v>597</v>
      </c>
    </row>
    <row r="89" spans="5:5">
      <c r="E89" s="111" t="s">
        <v>592</v>
      </c>
    </row>
    <row r="90" spans="5:5">
      <c r="E90" s="112">
        <v>8099035974</v>
      </c>
    </row>
    <row r="91" spans="5:5">
      <c r="E91" s="111" t="s">
        <v>593</v>
      </c>
    </row>
    <row r="92" spans="5:5">
      <c r="E92" s="112">
        <v>8095190066</v>
      </c>
    </row>
    <row r="93" spans="5:5">
      <c r="E93" s="111" t="s">
        <v>594</v>
      </c>
    </row>
    <row r="94" spans="5:5" ht="188.5">
      <c r="E94" s="113" t="s">
        <v>613</v>
      </c>
    </row>
    <row r="95" spans="5:5">
      <c r="E95" s="109"/>
    </row>
    <row r="96" spans="5:5" ht="29">
      <c r="E96" s="94" t="s">
        <v>614</v>
      </c>
    </row>
    <row r="97" spans="5:5" ht="409.5">
      <c r="E97" s="110" t="s">
        <v>597</v>
      </c>
    </row>
    <row r="98" spans="5:5">
      <c r="E98" s="111" t="s">
        <v>592</v>
      </c>
    </row>
    <row r="99" spans="5:5">
      <c r="E99" s="112">
        <v>8099035974</v>
      </c>
    </row>
    <row r="100" spans="5:5">
      <c r="E100" s="111" t="s">
        <v>593</v>
      </c>
    </row>
    <row r="101" spans="5:5">
      <c r="E101" s="112">
        <v>8097570341</v>
      </c>
    </row>
    <row r="102" spans="5:5">
      <c r="E102" s="111" t="s">
        <v>594</v>
      </c>
    </row>
    <row r="103" spans="5:5" ht="188.5">
      <c r="E103" s="113" t="s">
        <v>615</v>
      </c>
    </row>
    <row r="104" spans="5:5">
      <c r="E104" s="109"/>
    </row>
    <row r="105" spans="5:5" ht="43.5">
      <c r="E105" s="94" t="s">
        <v>616</v>
      </c>
    </row>
    <row r="106" spans="5:5" ht="409.5">
      <c r="E106" s="110" t="s">
        <v>597</v>
      </c>
    </row>
    <row r="107" spans="5:5">
      <c r="E107" s="111" t="s">
        <v>592</v>
      </c>
    </row>
    <row r="108" spans="5:5">
      <c r="E108" s="112">
        <v>8099035974</v>
      </c>
    </row>
    <row r="109" spans="5:5">
      <c r="E109" s="111" t="s">
        <v>593</v>
      </c>
    </row>
    <row r="110" spans="5:5">
      <c r="E110" s="112">
        <v>8093834656</v>
      </c>
    </row>
    <row r="111" spans="5:5">
      <c r="E111" s="111" t="s">
        <v>594</v>
      </c>
    </row>
    <row r="112" spans="5:5" ht="188.5">
      <c r="E112" s="113" t="s">
        <v>617</v>
      </c>
    </row>
    <row r="113" spans="5:5">
      <c r="E113" s="109"/>
    </row>
    <row r="114" spans="5:5" ht="43.5">
      <c r="E114" s="94" t="s">
        <v>618</v>
      </c>
    </row>
    <row r="115" spans="5:5" ht="261">
      <c r="E115" s="110" t="s">
        <v>600</v>
      </c>
    </row>
    <row r="116" spans="5:5">
      <c r="E116" s="111" t="s">
        <v>592</v>
      </c>
    </row>
    <row r="117" spans="5:5">
      <c r="E117" s="112">
        <v>8098375348</v>
      </c>
    </row>
    <row r="118" spans="5:5">
      <c r="E118" s="111" t="s">
        <v>593</v>
      </c>
    </row>
    <row r="119" spans="5:5">
      <c r="E119" s="112">
        <v>8098375348</v>
      </c>
    </row>
    <row r="120" spans="5:5">
      <c r="E120" s="111" t="s">
        <v>594</v>
      </c>
    </row>
    <row r="121" spans="5:5" ht="188.5">
      <c r="E121" s="113" t="s">
        <v>619</v>
      </c>
    </row>
    <row r="122" spans="5:5">
      <c r="E122" s="109"/>
    </row>
    <row r="123" spans="5:5" ht="43.5">
      <c r="E123" s="94" t="s">
        <v>620</v>
      </c>
    </row>
    <row r="124" spans="5:5" ht="261">
      <c r="E124" s="110" t="s">
        <v>600</v>
      </c>
    </row>
    <row r="125" spans="5:5">
      <c r="E125" s="111" t="s">
        <v>592</v>
      </c>
    </row>
    <row r="126" spans="5:5">
      <c r="E126" s="112">
        <v>8296714088</v>
      </c>
    </row>
    <row r="127" spans="5:5">
      <c r="E127" s="111" t="s">
        <v>593</v>
      </c>
    </row>
    <row r="128" spans="5:5">
      <c r="E128" s="112">
        <v>8296714088</v>
      </c>
    </row>
    <row r="129" spans="5:5">
      <c r="E129" s="111" t="s">
        <v>594</v>
      </c>
    </row>
    <row r="130" spans="5:5" ht="188.5">
      <c r="E130" s="113" t="s">
        <v>621</v>
      </c>
    </row>
    <row r="131" spans="5:5">
      <c r="E131" s="109"/>
    </row>
    <row r="132" spans="5:5" ht="29">
      <c r="E132" s="94" t="s">
        <v>622</v>
      </c>
    </row>
    <row r="133" spans="5:5" ht="409.5">
      <c r="E133" s="110" t="s">
        <v>623</v>
      </c>
    </row>
    <row r="134" spans="5:5">
      <c r="E134" s="111" t="s">
        <v>592</v>
      </c>
    </row>
    <row r="135" spans="5:5">
      <c r="E135" s="112">
        <v>8293733377</v>
      </c>
    </row>
    <row r="136" spans="5:5">
      <c r="E136" s="111" t="s">
        <v>593</v>
      </c>
    </row>
    <row r="137" spans="5:5">
      <c r="E137" s="112">
        <v>8293733377</v>
      </c>
    </row>
    <row r="138" spans="5:5">
      <c r="E138" s="111" t="s">
        <v>594</v>
      </c>
    </row>
    <row r="139" spans="5:5" ht="188.5">
      <c r="E139" s="113" t="s">
        <v>624</v>
      </c>
    </row>
    <row r="140" spans="5:5">
      <c r="E140" s="109"/>
    </row>
    <row r="141" spans="5:5" ht="43.5">
      <c r="E141" s="94" t="s">
        <v>625</v>
      </c>
    </row>
    <row r="142" spans="5:5" ht="409.5">
      <c r="E142" s="110" t="s">
        <v>623</v>
      </c>
    </row>
    <row r="143" spans="5:5">
      <c r="E143" s="111" t="s">
        <v>592</v>
      </c>
    </row>
    <row r="144" spans="5:5">
      <c r="E144" s="112">
        <v>8292814711</v>
      </c>
    </row>
    <row r="145" spans="5:5">
      <c r="E145" s="111" t="s">
        <v>593</v>
      </c>
    </row>
    <row r="146" spans="5:5">
      <c r="E146" s="112">
        <v>8292814711</v>
      </c>
    </row>
    <row r="147" spans="5:5">
      <c r="E147" s="111" t="s">
        <v>594</v>
      </c>
    </row>
    <row r="148" spans="5:5" ht="188.5">
      <c r="E148" s="113" t="s">
        <v>626</v>
      </c>
    </row>
    <row r="149" spans="5:5">
      <c r="E149" s="109"/>
    </row>
    <row r="150" spans="5:5" ht="43.5">
      <c r="E150" s="94" t="s">
        <v>627</v>
      </c>
    </row>
    <row r="151" spans="5:5" ht="333.5">
      <c r="E151" s="110" t="s">
        <v>628</v>
      </c>
    </row>
    <row r="152" spans="5:5">
      <c r="E152" s="111" t="s">
        <v>592</v>
      </c>
    </row>
    <row r="153" spans="5:5">
      <c r="E153" s="112">
        <v>8093072505</v>
      </c>
    </row>
    <row r="154" spans="5:5">
      <c r="E154" s="111" t="s">
        <v>593</v>
      </c>
    </row>
    <row r="155" spans="5:5">
      <c r="E155" s="112">
        <v>8093072505</v>
      </c>
    </row>
    <row r="156" spans="5:5">
      <c r="E156" s="111" t="s">
        <v>594</v>
      </c>
    </row>
    <row r="157" spans="5:5" ht="188.5">
      <c r="E157" s="113" t="s">
        <v>629</v>
      </c>
    </row>
    <row r="158" spans="5:5">
      <c r="E158" s="109"/>
    </row>
    <row r="159" spans="5:5" ht="29">
      <c r="E159" s="94" t="s">
        <v>630</v>
      </c>
    </row>
    <row r="160" spans="5:5" ht="409.5">
      <c r="E160" s="110" t="s">
        <v>631</v>
      </c>
    </row>
    <row r="161" spans="5:5">
      <c r="E161" s="111" t="s">
        <v>592</v>
      </c>
    </row>
    <row r="162" spans="5:5">
      <c r="E162" s="112">
        <v>8094877662</v>
      </c>
    </row>
    <row r="163" spans="5:5">
      <c r="E163" s="111" t="s">
        <v>593</v>
      </c>
    </row>
    <row r="164" spans="5:5">
      <c r="E164" s="112">
        <v>8299302277</v>
      </c>
    </row>
    <row r="165" spans="5:5">
      <c r="E165" s="111" t="s">
        <v>594</v>
      </c>
    </row>
    <row r="166" spans="5:5" ht="188.5">
      <c r="E166" s="113" t="s">
        <v>632</v>
      </c>
    </row>
    <row r="167" spans="5:5">
      <c r="E167" s="109"/>
    </row>
    <row r="168" spans="5:5" ht="43.5">
      <c r="E168" s="94" t="s">
        <v>633</v>
      </c>
    </row>
    <row r="169" spans="5:5" ht="409.5">
      <c r="E169" s="110" t="s">
        <v>631</v>
      </c>
    </row>
    <row r="170" spans="5:5">
      <c r="E170" s="111" t="s">
        <v>592</v>
      </c>
    </row>
    <row r="171" spans="5:5">
      <c r="E171" s="112">
        <v>8094877662</v>
      </c>
    </row>
    <row r="172" spans="5:5">
      <c r="E172" s="111" t="s">
        <v>593</v>
      </c>
    </row>
    <row r="173" spans="5:5">
      <c r="E173" s="112">
        <v>8293522685</v>
      </c>
    </row>
    <row r="174" spans="5:5">
      <c r="E174" s="111" t="s">
        <v>594</v>
      </c>
    </row>
    <row r="175" spans="5:5" ht="188.5">
      <c r="E175" s="113" t="s">
        <v>634</v>
      </c>
    </row>
    <row r="176" spans="5:5">
      <c r="E176" s="109"/>
    </row>
    <row r="177" spans="5:5" ht="43.5">
      <c r="E177" s="94" t="s">
        <v>635</v>
      </c>
    </row>
    <row r="178" spans="5:5" ht="409.5">
      <c r="E178" s="110" t="s">
        <v>631</v>
      </c>
    </row>
    <row r="179" spans="5:5">
      <c r="E179" s="111" t="s">
        <v>592</v>
      </c>
    </row>
    <row r="180" spans="5:5">
      <c r="E180" s="112">
        <v>8094877662</v>
      </c>
    </row>
    <row r="181" spans="5:5">
      <c r="E181" s="111" t="s">
        <v>593</v>
      </c>
    </row>
    <row r="182" spans="5:5">
      <c r="E182" s="112">
        <v>8097122696</v>
      </c>
    </row>
    <row r="183" spans="5:5">
      <c r="E183" s="111" t="s">
        <v>594</v>
      </c>
    </row>
    <row r="184" spans="5:5" ht="188.5">
      <c r="E184" s="113" t="s">
        <v>636</v>
      </c>
    </row>
    <row r="185" spans="5:5">
      <c r="E185" s="109"/>
    </row>
    <row r="186" spans="5:5" ht="43.5">
      <c r="E186" s="94" t="s">
        <v>637</v>
      </c>
    </row>
    <row r="187" spans="5:5" ht="409.5">
      <c r="E187" s="110" t="s">
        <v>631</v>
      </c>
    </row>
    <row r="188" spans="5:5">
      <c r="E188" s="111" t="s">
        <v>592</v>
      </c>
    </row>
    <row r="189" spans="5:5">
      <c r="E189" s="112">
        <v>8298584693</v>
      </c>
    </row>
    <row r="190" spans="5:5">
      <c r="E190" s="111" t="s">
        <v>593</v>
      </c>
    </row>
    <row r="191" spans="5:5">
      <c r="E191" s="112">
        <v>8298584693</v>
      </c>
    </row>
    <row r="192" spans="5:5">
      <c r="E192" s="111" t="s">
        <v>594</v>
      </c>
    </row>
    <row r="193" spans="5:5" ht="188.5">
      <c r="E193" s="113" t="s">
        <v>638</v>
      </c>
    </row>
    <row r="194" spans="5:5">
      <c r="E194" s="109"/>
    </row>
    <row r="195" spans="5:5" ht="43.5">
      <c r="E195" s="94" t="s">
        <v>639</v>
      </c>
    </row>
    <row r="196" spans="5:5" ht="290">
      <c r="E196" s="110" t="s">
        <v>640</v>
      </c>
    </row>
    <row r="197" spans="5:5">
      <c r="E197" s="111" t="s">
        <v>592</v>
      </c>
    </row>
    <row r="198" spans="5:5">
      <c r="E198" s="112">
        <v>8095198022</v>
      </c>
    </row>
    <row r="199" spans="5:5">
      <c r="E199" s="111" t="s">
        <v>593</v>
      </c>
    </row>
    <row r="200" spans="5:5">
      <c r="E200" s="112">
        <v>8298849010</v>
      </c>
    </row>
    <row r="201" spans="5:5">
      <c r="E201" s="111" t="s">
        <v>594</v>
      </c>
    </row>
    <row r="202" spans="5:5" ht="188.5">
      <c r="E202" s="113" t="s">
        <v>641</v>
      </c>
    </row>
    <row r="203" spans="5:5">
      <c r="E203" s="109"/>
    </row>
    <row r="204" spans="5:5" ht="43.5">
      <c r="E204" s="94" t="s">
        <v>642</v>
      </c>
    </row>
    <row r="205" spans="5:5" ht="290">
      <c r="E205" s="110" t="s">
        <v>640</v>
      </c>
    </row>
    <row r="206" spans="5:5">
      <c r="E206" s="111" t="s">
        <v>592</v>
      </c>
    </row>
    <row r="207" spans="5:5">
      <c r="E207" s="112">
        <v>8095198022</v>
      </c>
    </row>
    <row r="208" spans="5:5">
      <c r="E208" s="111" t="s">
        <v>593</v>
      </c>
    </row>
    <row r="209" spans="5:5">
      <c r="E209" s="112">
        <v>8097235205</v>
      </c>
    </row>
    <row r="210" spans="5:5">
      <c r="E210" s="111" t="s">
        <v>594</v>
      </c>
    </row>
    <row r="211" spans="5:5" ht="188.5">
      <c r="E211" s="113" t="s">
        <v>643</v>
      </c>
    </row>
    <row r="212" spans="5:5">
      <c r="E212" s="109"/>
    </row>
    <row r="213" spans="5:5" ht="58">
      <c r="E213" s="94" t="s">
        <v>644</v>
      </c>
    </row>
    <row r="214" spans="5:5" ht="290">
      <c r="E214" s="110" t="s">
        <v>640</v>
      </c>
    </row>
    <row r="215" spans="5:5">
      <c r="E215" s="111" t="s">
        <v>592</v>
      </c>
    </row>
    <row r="216" spans="5:5">
      <c r="E216" s="112">
        <v>8095198022</v>
      </c>
    </row>
    <row r="217" spans="5:5">
      <c r="E217" s="111" t="s">
        <v>593</v>
      </c>
    </row>
    <row r="218" spans="5:5">
      <c r="E218" s="112">
        <v>8298729666</v>
      </c>
    </row>
    <row r="219" spans="5:5">
      <c r="E219" s="111" t="s">
        <v>594</v>
      </c>
    </row>
    <row r="220" spans="5:5" ht="188.5">
      <c r="E220" s="113" t="s">
        <v>645</v>
      </c>
    </row>
    <row r="221" spans="5:5">
      <c r="E221" s="109"/>
    </row>
    <row r="222" spans="5:5" ht="29">
      <c r="E222" s="94" t="s">
        <v>646</v>
      </c>
    </row>
    <row r="223" spans="5:5" ht="145">
      <c r="E223" s="110" t="s">
        <v>647</v>
      </c>
    </row>
    <row r="224" spans="5:5">
      <c r="E224" s="111" t="s">
        <v>592</v>
      </c>
    </row>
    <row r="225" spans="5:5">
      <c r="E225" s="112">
        <v>8095420555</v>
      </c>
    </row>
    <row r="226" spans="5:5">
      <c r="E226" s="111" t="s">
        <v>593</v>
      </c>
    </row>
    <row r="227" spans="5:5">
      <c r="E227" s="112">
        <v>8492528400</v>
      </c>
    </row>
    <row r="228" spans="5:5">
      <c r="E228" s="111" t="s">
        <v>594</v>
      </c>
    </row>
    <row r="229" spans="5:5" ht="188.5">
      <c r="E229" s="113" t="s">
        <v>648</v>
      </c>
    </row>
    <row r="230" spans="5:5">
      <c r="E230" s="109"/>
    </row>
    <row r="231" spans="5:5" ht="43.5">
      <c r="E231" s="94" t="s">
        <v>649</v>
      </c>
    </row>
    <row r="232" spans="5:5" ht="409.5">
      <c r="E232" s="110" t="s">
        <v>650</v>
      </c>
    </row>
    <row r="233" spans="5:5">
      <c r="E233" s="111" t="s">
        <v>592</v>
      </c>
    </row>
    <row r="234" spans="5:5">
      <c r="E234" s="112">
        <v>8097133000</v>
      </c>
    </row>
    <row r="235" spans="5:5">
      <c r="E235" s="111" t="s">
        <v>593</v>
      </c>
    </row>
    <row r="236" spans="5:5">
      <c r="E236" s="112">
        <v>8097133000</v>
      </c>
    </row>
    <row r="237" spans="5:5">
      <c r="E237" s="111" t="s">
        <v>594</v>
      </c>
    </row>
    <row r="238" spans="5:5" ht="188.5">
      <c r="E238" s="113" t="s">
        <v>651</v>
      </c>
    </row>
    <row r="239" spans="5:5">
      <c r="E239" s="109"/>
    </row>
    <row r="240" spans="5:5" ht="43.5">
      <c r="E240" s="94" t="s">
        <v>652</v>
      </c>
    </row>
    <row r="241" spans="5:5" ht="409.5">
      <c r="E241" s="110" t="s">
        <v>650</v>
      </c>
    </row>
    <row r="242" spans="5:5">
      <c r="E242" s="111" t="s">
        <v>592</v>
      </c>
    </row>
    <row r="243" spans="5:5">
      <c r="E243" s="112">
        <v>8097366712</v>
      </c>
    </row>
    <row r="244" spans="5:5">
      <c r="E244" s="111" t="s">
        <v>593</v>
      </c>
    </row>
    <row r="245" spans="5:5">
      <c r="E245" s="112">
        <v>8299149403</v>
      </c>
    </row>
    <row r="246" spans="5:5">
      <c r="E246" s="111" t="s">
        <v>594</v>
      </c>
    </row>
    <row r="247" spans="5:5" ht="188.5">
      <c r="E247" s="113" t="s">
        <v>653</v>
      </c>
    </row>
    <row r="248" spans="5:5">
      <c r="E248" s="109"/>
    </row>
    <row r="249" spans="5:5" ht="43.5">
      <c r="E249" s="94" t="s">
        <v>654</v>
      </c>
    </row>
    <row r="250" spans="5:5" ht="409.5">
      <c r="E250" s="110" t="s">
        <v>650</v>
      </c>
    </row>
    <row r="251" spans="5:5">
      <c r="E251" s="111" t="s">
        <v>592</v>
      </c>
    </row>
    <row r="252" spans="5:5">
      <c r="E252" s="112">
        <v>8297220100</v>
      </c>
    </row>
    <row r="253" spans="5:5">
      <c r="E253" s="111" t="s">
        <v>593</v>
      </c>
    </row>
    <row r="254" spans="5:5">
      <c r="E254" s="112">
        <v>8297220100</v>
      </c>
    </row>
    <row r="255" spans="5:5">
      <c r="E255" s="111" t="s">
        <v>594</v>
      </c>
    </row>
    <row r="256" spans="5:5" ht="188.5">
      <c r="E256" s="113" t="s">
        <v>655</v>
      </c>
    </row>
    <row r="257" spans="5:5">
      <c r="E257" s="109"/>
    </row>
    <row r="258" spans="5:5" ht="43.5">
      <c r="E258" s="94" t="s">
        <v>656</v>
      </c>
    </row>
    <row r="259" spans="5:5" ht="409.5">
      <c r="E259" s="110" t="s">
        <v>650</v>
      </c>
    </row>
    <row r="260" spans="5:5">
      <c r="E260" s="111" t="s">
        <v>592</v>
      </c>
    </row>
    <row r="261" spans="5:5">
      <c r="E261" s="112">
        <v>8296412015</v>
      </c>
    </row>
    <row r="262" spans="5:5">
      <c r="E262" s="111" t="s">
        <v>593</v>
      </c>
    </row>
    <row r="263" spans="5:5">
      <c r="E263" s="112">
        <v>8296412015</v>
      </c>
    </row>
    <row r="264" spans="5:5">
      <c r="E264" s="111" t="s">
        <v>594</v>
      </c>
    </row>
    <row r="265" spans="5:5" ht="188.5">
      <c r="E265" s="113" t="s">
        <v>657</v>
      </c>
    </row>
    <row r="266" spans="5:5">
      <c r="E266" s="109"/>
    </row>
    <row r="267" spans="5:5" ht="43.5">
      <c r="E267" s="94" t="s">
        <v>658</v>
      </c>
    </row>
    <row r="268" spans="5:5" ht="409.5">
      <c r="E268" s="110" t="s">
        <v>650</v>
      </c>
    </row>
    <row r="269" spans="5:5">
      <c r="E269" s="111" t="s">
        <v>592</v>
      </c>
    </row>
    <row r="270" spans="5:5">
      <c r="E270" s="112">
        <v>8299800645</v>
      </c>
    </row>
    <row r="271" spans="5:5">
      <c r="E271" s="111" t="s">
        <v>593</v>
      </c>
    </row>
    <row r="272" spans="5:5">
      <c r="E272" s="112">
        <v>8299800645</v>
      </c>
    </row>
    <row r="273" spans="5:5">
      <c r="E273" s="111" t="s">
        <v>594</v>
      </c>
    </row>
    <row r="274" spans="5:5" ht="188.5">
      <c r="E274" s="113" t="s">
        <v>659</v>
      </c>
    </row>
    <row r="275" spans="5:5">
      <c r="E275" s="109"/>
    </row>
    <row r="276" spans="5:5" ht="29">
      <c r="E276" s="94" t="s">
        <v>660</v>
      </c>
    </row>
    <row r="277" spans="5:5" ht="409.5">
      <c r="E277" s="110" t="s">
        <v>650</v>
      </c>
    </row>
    <row r="278" spans="5:5">
      <c r="E278" s="111" t="s">
        <v>592</v>
      </c>
    </row>
    <row r="279" spans="5:5">
      <c r="E279" s="112">
        <v>8097366712</v>
      </c>
    </row>
    <row r="280" spans="5:5">
      <c r="E280" s="111" t="s">
        <v>593</v>
      </c>
    </row>
    <row r="281" spans="5:5">
      <c r="E281" s="112">
        <v>8295531658</v>
      </c>
    </row>
    <row r="282" spans="5:5">
      <c r="E282" s="111" t="s">
        <v>594</v>
      </c>
    </row>
    <row r="283" spans="5:5" ht="188.5">
      <c r="E283" s="113" t="s">
        <v>661</v>
      </c>
    </row>
    <row r="284" spans="5:5">
      <c r="E284" s="109"/>
    </row>
    <row r="285" spans="5:5" ht="43.5">
      <c r="E285" s="94" t="s">
        <v>662</v>
      </c>
    </row>
    <row r="286" spans="5:5" ht="409.5">
      <c r="E286" s="110" t="s">
        <v>650</v>
      </c>
    </row>
    <row r="287" spans="5:5">
      <c r="E287" s="111" t="s">
        <v>592</v>
      </c>
    </row>
    <row r="288" spans="5:5">
      <c r="E288" s="112">
        <v>8097102619</v>
      </c>
    </row>
    <row r="289" spans="5:5">
      <c r="E289" s="111" t="s">
        <v>593</v>
      </c>
    </row>
    <row r="290" spans="5:5">
      <c r="E290" s="112">
        <v>8097102619</v>
      </c>
    </row>
    <row r="291" spans="5:5">
      <c r="E291" s="111" t="s">
        <v>594</v>
      </c>
    </row>
    <row r="292" spans="5:5" ht="188.5">
      <c r="E292" s="113" t="s">
        <v>663</v>
      </c>
    </row>
    <row r="293" spans="5:5">
      <c r="E293" s="109"/>
    </row>
    <row r="294" spans="5:5" ht="29">
      <c r="E294" s="94" t="s">
        <v>664</v>
      </c>
    </row>
    <row r="295" spans="5:5" ht="409.5">
      <c r="E295" s="110" t="s">
        <v>650</v>
      </c>
    </row>
    <row r="296" spans="5:5">
      <c r="E296" s="111" t="s">
        <v>592</v>
      </c>
    </row>
    <row r="297" spans="5:5">
      <c r="E297" s="112">
        <v>8097366712</v>
      </c>
    </row>
    <row r="298" spans="5:5">
      <c r="E298" s="111" t="s">
        <v>593</v>
      </c>
    </row>
    <row r="299" spans="5:5">
      <c r="E299" s="112">
        <v>8093501870</v>
      </c>
    </row>
    <row r="300" spans="5:5">
      <c r="E300" s="111" t="s">
        <v>594</v>
      </c>
    </row>
    <row r="301" spans="5:5" ht="188.5">
      <c r="E301" s="113" t="s">
        <v>665</v>
      </c>
    </row>
    <row r="302" spans="5:5">
      <c r="E302" s="109"/>
    </row>
    <row r="303" spans="5:5" ht="29">
      <c r="E303" s="94" t="s">
        <v>666</v>
      </c>
    </row>
    <row r="304" spans="5:5" ht="304.5">
      <c r="E304" s="110" t="s">
        <v>667</v>
      </c>
    </row>
    <row r="305" spans="5:5">
      <c r="E305" s="111" t="s">
        <v>592</v>
      </c>
    </row>
    <row r="306" spans="5:5">
      <c r="E306" s="112">
        <v>8249815202</v>
      </c>
    </row>
    <row r="307" spans="5:5">
      <c r="E307" s="111" t="s">
        <v>593</v>
      </c>
    </row>
    <row r="308" spans="5:5">
      <c r="E308" s="112">
        <v>8299815202</v>
      </c>
    </row>
    <row r="309" spans="5:5">
      <c r="E309" s="111" t="s">
        <v>594</v>
      </c>
    </row>
    <row r="310" spans="5:5" ht="188.5">
      <c r="E310" s="113" t="s">
        <v>668</v>
      </c>
    </row>
    <row r="311" spans="5:5">
      <c r="E311" s="109"/>
    </row>
    <row r="312" spans="5:5" ht="43.5">
      <c r="E312" s="94" t="s">
        <v>669</v>
      </c>
    </row>
    <row r="313" spans="5:5" ht="304.5">
      <c r="E313" s="110" t="s">
        <v>667</v>
      </c>
    </row>
    <row r="314" spans="5:5">
      <c r="E314" s="111" t="s">
        <v>592</v>
      </c>
    </row>
    <row r="315" spans="5:5">
      <c r="E315" s="112">
        <v>8496534474</v>
      </c>
    </row>
    <row r="316" spans="5:5">
      <c r="E316" s="111" t="s">
        <v>593</v>
      </c>
    </row>
    <row r="317" spans="5:5">
      <c r="E317" s="112">
        <v>8496534474</v>
      </c>
    </row>
    <row r="318" spans="5:5">
      <c r="E318" s="111" t="s">
        <v>594</v>
      </c>
    </row>
    <row r="319" spans="5:5" ht="188.5">
      <c r="E319" s="113" t="s">
        <v>670</v>
      </c>
    </row>
    <row r="320" spans="5:5">
      <c r="E320" s="109"/>
    </row>
    <row r="321" spans="5:5" ht="29">
      <c r="E321" s="94" t="s">
        <v>671</v>
      </c>
    </row>
    <row r="322" spans="5:5" ht="304.5">
      <c r="E322" s="110" t="s">
        <v>667</v>
      </c>
    </row>
    <row r="323" spans="5:5">
      <c r="E323" s="111" t="s">
        <v>592</v>
      </c>
    </row>
    <row r="324" spans="5:5">
      <c r="E324" s="112">
        <v>8492080242</v>
      </c>
    </row>
    <row r="325" spans="5:5">
      <c r="E325" s="111" t="s">
        <v>593</v>
      </c>
    </row>
    <row r="326" spans="5:5">
      <c r="E326" s="112">
        <v>8492080242</v>
      </c>
    </row>
    <row r="327" spans="5:5">
      <c r="E327" s="111" t="s">
        <v>594</v>
      </c>
    </row>
    <row r="328" spans="5:5" ht="188.5">
      <c r="E328" s="113" t="s">
        <v>672</v>
      </c>
    </row>
    <row r="329" spans="5:5">
      <c r="E329" s="109"/>
    </row>
    <row r="330" spans="5:5" ht="29">
      <c r="E330" s="94" t="s">
        <v>673</v>
      </c>
    </row>
    <row r="331" spans="5:5" ht="304.5">
      <c r="E331" s="110" t="s">
        <v>667</v>
      </c>
    </row>
    <row r="332" spans="5:5">
      <c r="E332" s="111" t="s">
        <v>592</v>
      </c>
    </row>
    <row r="333" spans="5:5">
      <c r="E333" s="112">
        <v>8293418095</v>
      </c>
    </row>
    <row r="334" spans="5:5">
      <c r="E334" s="111" t="s">
        <v>593</v>
      </c>
    </row>
    <row r="335" spans="5:5">
      <c r="E335" s="112">
        <v>8293418095</v>
      </c>
    </row>
    <row r="336" spans="5:5">
      <c r="E336" s="111" t="s">
        <v>594</v>
      </c>
    </row>
    <row r="337" spans="5:5" ht="188.5">
      <c r="E337" s="113" t="s">
        <v>674</v>
      </c>
    </row>
    <row r="338" spans="5:5">
      <c r="E338" s="109"/>
    </row>
    <row r="339" spans="5:5" ht="43.5">
      <c r="E339" s="94" t="s">
        <v>675</v>
      </c>
    </row>
    <row r="340" spans="5:5" ht="406">
      <c r="E340" s="110" t="s">
        <v>676</v>
      </c>
    </row>
    <row r="341" spans="5:5">
      <c r="E341" s="111" t="s">
        <v>592</v>
      </c>
    </row>
    <row r="342" spans="5:5">
      <c r="E342" s="112">
        <v>8299589593</v>
      </c>
    </row>
    <row r="343" spans="5:5">
      <c r="E343" s="111" t="s">
        <v>593</v>
      </c>
    </row>
    <row r="344" spans="5:5">
      <c r="E344" s="112">
        <v>8299589593</v>
      </c>
    </row>
    <row r="345" spans="5:5">
      <c r="E345" s="111" t="s">
        <v>594</v>
      </c>
    </row>
    <row r="346" spans="5:5" ht="188.5">
      <c r="E346" s="113" t="s">
        <v>677</v>
      </c>
    </row>
    <row r="347" spans="5:5">
      <c r="E347" s="114" t="s">
        <v>678</v>
      </c>
    </row>
    <row r="348" spans="5:5">
      <c r="E348" s="114" t="s">
        <v>679</v>
      </c>
    </row>
    <row r="349" spans="5:5">
      <c r="E349" s="114" t="s">
        <v>680</v>
      </c>
    </row>
    <row r="350" spans="5:5" ht="23">
      <c r="E350" s="115" t="s">
        <v>681</v>
      </c>
    </row>
    <row r="351" spans="5:5" ht="29">
      <c r="E351" s="102" t="s">
        <v>682</v>
      </c>
    </row>
    <row r="352" spans="5:5" ht="43.5">
      <c r="E352" s="102" t="s">
        <v>683</v>
      </c>
    </row>
    <row r="353" spans="5:5" ht="43.5">
      <c r="E353" s="102" t="s">
        <v>684</v>
      </c>
    </row>
    <row r="354" spans="5:5" ht="43.5">
      <c r="E354" s="102" t="s">
        <v>685</v>
      </c>
    </row>
    <row r="355" spans="5:5">
      <c r="E355" s="97"/>
    </row>
    <row r="356" spans="5:5">
      <c r="E356" s="116"/>
    </row>
    <row r="357" spans="5:5">
      <c r="E357" s="117" t="s">
        <v>686</v>
      </c>
    </row>
  </sheetData>
  <hyperlinks>
    <hyperlink ref="E8" r:id="rId1" display="https://aei.com.do/directorio/agentes"/>
    <hyperlink ref="E9" r:id="rId2" display="https://aei.com.do/directorio/agentes"/>
    <hyperlink ref="E10" r:id="rId3" display="https://aei.com.do/directorio/agentes"/>
    <hyperlink ref="E11" r:id="rId4" display="https://aei.com.do/directorio/agentes"/>
    <hyperlink ref="E12" r:id="rId5" display="https://aei.com.do/ayuda/contactenos"/>
    <hyperlink ref="E14" r:id="rId6" display="https://aei.com.do/usuario/login"/>
    <hyperlink ref="E15" r:id="rId7" display="https://aei.com.do/"/>
    <hyperlink ref="E24" r:id="rId8" display="https://aei.com.do/cbr/4805"/>
    <hyperlink ref="E25" r:id="rId9" display="https://aei.com.do/cbr/4805"/>
    <hyperlink ref="E31" r:id="rId10" display="https://aei.com.do/cbr/4805"/>
    <hyperlink ref="E33" r:id="rId11" display="https://aei.com.do/cbr/4804"/>
    <hyperlink ref="E34" r:id="rId12" display="https://aei.com.do/cbr/4804"/>
    <hyperlink ref="E40" r:id="rId13" display="https://aei.com.do/cbr/4804"/>
    <hyperlink ref="E42" r:id="rId14" display="https://aei.com.do/cbr/4803"/>
    <hyperlink ref="E43" r:id="rId15" display="https://aei.com.do/cbr/4803"/>
    <hyperlink ref="E49" r:id="rId16" display="https://aei.com.do/cbr/4803"/>
    <hyperlink ref="E51" r:id="rId17" display="https://aei.com.do/cbr/4802"/>
    <hyperlink ref="E52" r:id="rId18" display="https://aei.com.do/cbr/4802"/>
    <hyperlink ref="E58" r:id="rId19" display="https://aei.com.do/cbr/4802"/>
    <hyperlink ref="E60" r:id="rId20" display="https://aei.com.do/cbr/4801"/>
    <hyperlink ref="E61" r:id="rId21" display="https://aei.com.do/cbr/4801"/>
    <hyperlink ref="E67" r:id="rId22" display="https://aei.com.do/cbr/4801"/>
    <hyperlink ref="E69" r:id="rId23" display="https://aei.com.do/cbr/4800"/>
    <hyperlink ref="E70" r:id="rId24" display="https://aei.com.do/cbr/4800"/>
    <hyperlink ref="E76" r:id="rId25" display="https://aei.com.do/cbr/4800"/>
    <hyperlink ref="E78" r:id="rId26" display="https://aei.com.do/cbr/4799"/>
    <hyperlink ref="E79" r:id="rId27" display="https://aei.com.do/cbr/4799"/>
    <hyperlink ref="E85" r:id="rId28" display="https://aei.com.do/cbr/4799"/>
    <hyperlink ref="E87" r:id="rId29" display="https://aei.com.do/cbr/4798"/>
    <hyperlink ref="E88" r:id="rId30" display="https://aei.com.do/cbr/4798"/>
    <hyperlink ref="E94" r:id="rId31" display="https://aei.com.do/cbr/4798"/>
    <hyperlink ref="E96" r:id="rId32" display="https://aei.com.do/cbr/4797"/>
    <hyperlink ref="E97" r:id="rId33" display="https://aei.com.do/cbr/4797"/>
    <hyperlink ref="E103" r:id="rId34" display="https://aei.com.do/cbr/4797"/>
    <hyperlink ref="E105" r:id="rId35" display="https://aei.com.do/cbr/4796"/>
    <hyperlink ref="E106" r:id="rId36" display="https://aei.com.do/cbr/4796"/>
    <hyperlink ref="E112" r:id="rId37" display="https://aei.com.do/cbr/4796"/>
    <hyperlink ref="E114" r:id="rId38" display="https://aei.com.do/cbr/4795"/>
    <hyperlink ref="E115" r:id="rId39" display="https://aei.com.do/cbr/4795"/>
    <hyperlink ref="E121" r:id="rId40" display="https://aei.com.do/cbr/4795"/>
    <hyperlink ref="E123" r:id="rId41" display="https://aei.com.do/cbr/4794"/>
    <hyperlink ref="E124" r:id="rId42" display="https://aei.com.do/cbr/4794"/>
    <hyperlink ref="E130" r:id="rId43" display="https://aei.com.do/cbr/4794"/>
    <hyperlink ref="E132" r:id="rId44" display="https://aei.com.do/cbr/4793"/>
    <hyperlink ref="E133" r:id="rId45" display="https://aei.com.do/cbr/4793"/>
    <hyperlink ref="E139" r:id="rId46" display="https://aei.com.do/cbr/4793"/>
    <hyperlink ref="E141" r:id="rId47" display="https://aei.com.do/cbr/4792"/>
    <hyperlink ref="E142" r:id="rId48" display="https://aei.com.do/cbr/4792"/>
    <hyperlink ref="E148" r:id="rId49" display="https://aei.com.do/cbr/4792"/>
    <hyperlink ref="E150" r:id="rId50" display="https://aei.com.do/cbr/4791"/>
    <hyperlink ref="E151" r:id="rId51" display="https://aei.com.do/cbr/4791"/>
    <hyperlink ref="E157" r:id="rId52" display="https://aei.com.do/cbr/4791"/>
    <hyperlink ref="E159" r:id="rId53" display="https://aei.com.do/cbr/4790"/>
    <hyperlink ref="E160" r:id="rId54" display="https://aei.com.do/cbr/4790"/>
    <hyperlink ref="E166" r:id="rId55" display="https://aei.com.do/cbr/4790"/>
    <hyperlink ref="E168" r:id="rId56" display="https://aei.com.do/cbr/4789"/>
    <hyperlink ref="E169" r:id="rId57" display="https://aei.com.do/cbr/4789"/>
    <hyperlink ref="E175" r:id="rId58" display="https://aei.com.do/cbr/4789"/>
    <hyperlink ref="E177" r:id="rId59" display="https://aei.com.do/cbr/4788"/>
    <hyperlink ref="E178" r:id="rId60" display="https://aei.com.do/cbr/4788"/>
    <hyperlink ref="E184" r:id="rId61" display="https://aei.com.do/cbr/4788"/>
    <hyperlink ref="E186" r:id="rId62" display="https://aei.com.do/cbr/4787"/>
    <hyperlink ref="E187" r:id="rId63" display="https://aei.com.do/cbr/4787"/>
    <hyperlink ref="E193" r:id="rId64" display="https://aei.com.do/cbr/4787"/>
    <hyperlink ref="E195" r:id="rId65" display="https://aei.com.do/cbr/4786"/>
    <hyperlink ref="E196" r:id="rId66" display="https://aei.com.do/cbr/4786"/>
    <hyperlink ref="E202" r:id="rId67" display="https://aei.com.do/cbr/4786"/>
    <hyperlink ref="E204" r:id="rId68" display="https://aei.com.do/cbr/4785"/>
    <hyperlink ref="E205" r:id="rId69" display="https://aei.com.do/cbr/4785"/>
    <hyperlink ref="E211" r:id="rId70" display="https://aei.com.do/cbr/4785"/>
    <hyperlink ref="E213" r:id="rId71" display="https://aei.com.do/cbr/4784"/>
    <hyperlink ref="E214" r:id="rId72" display="https://aei.com.do/cbr/4784"/>
    <hyperlink ref="E220" r:id="rId73" display="https://aei.com.do/cbr/4784"/>
    <hyperlink ref="E222" r:id="rId74" display="https://aei.com.do/cbr/4783"/>
    <hyperlink ref="E223" r:id="rId75" display="https://aei.com.do/cbr/4783"/>
    <hyperlink ref="E229" r:id="rId76" display="https://aei.com.do/cbr/4783"/>
    <hyperlink ref="E231" r:id="rId77" display="https://aei.com.do/cbr/4782"/>
    <hyperlink ref="E232" r:id="rId78" display="https://aei.com.do/cbr/4782"/>
    <hyperlink ref="E238" r:id="rId79" display="https://aei.com.do/cbr/4782"/>
    <hyperlink ref="E240" r:id="rId80" display="https://aei.com.do/cbr/4781"/>
    <hyperlink ref="E241" r:id="rId81" display="https://aei.com.do/cbr/4781"/>
    <hyperlink ref="E247" r:id="rId82" display="https://aei.com.do/cbr/4781"/>
    <hyperlink ref="E249" r:id="rId83" display="https://aei.com.do/cbr/4780"/>
    <hyperlink ref="E250" r:id="rId84" display="https://aei.com.do/cbr/4780"/>
    <hyperlink ref="E256" r:id="rId85" display="https://aei.com.do/cbr/4780"/>
    <hyperlink ref="E258" r:id="rId86" display="https://aei.com.do/cbr/4779"/>
    <hyperlink ref="E259" r:id="rId87" display="https://aei.com.do/cbr/4779"/>
    <hyperlink ref="E265" r:id="rId88" display="https://aei.com.do/cbr/4779"/>
    <hyperlink ref="E267" r:id="rId89" display="https://aei.com.do/cbr/4778"/>
    <hyperlink ref="E268" r:id="rId90" display="https://aei.com.do/cbr/4778"/>
    <hyperlink ref="E274" r:id="rId91" display="https://aei.com.do/cbr/4778"/>
    <hyperlink ref="E276" r:id="rId92" display="https://aei.com.do/cbr/4777"/>
    <hyperlink ref="E277" r:id="rId93" display="https://aei.com.do/cbr/4777"/>
    <hyperlink ref="E283" r:id="rId94" display="https://aei.com.do/cbr/4777"/>
    <hyperlink ref="E285" r:id="rId95" display="https://aei.com.do/cbr/4776"/>
    <hyperlink ref="E286" r:id="rId96" display="https://aei.com.do/cbr/4776"/>
    <hyperlink ref="E292" r:id="rId97" display="https://aei.com.do/cbr/4776"/>
    <hyperlink ref="E294" r:id="rId98" display="https://aei.com.do/cbr/4775"/>
    <hyperlink ref="E295" r:id="rId99" display="https://aei.com.do/cbr/4775"/>
    <hyperlink ref="E301" r:id="rId100" display="https://aei.com.do/cbr/4775"/>
    <hyperlink ref="E303" r:id="rId101" display="https://aei.com.do/cbr/4774"/>
    <hyperlink ref="E304" r:id="rId102" display="https://aei.com.do/cbr/4774"/>
    <hyperlink ref="E310" r:id="rId103" display="https://aei.com.do/cbr/4774"/>
    <hyperlink ref="E312" r:id="rId104" display="https://aei.com.do/cbr/4773"/>
    <hyperlink ref="E313" r:id="rId105" display="https://aei.com.do/cbr/4773"/>
    <hyperlink ref="E319" r:id="rId106" display="https://aei.com.do/cbr/4773"/>
    <hyperlink ref="E321" r:id="rId107" display="https://aei.com.do/cbr/4772"/>
    <hyperlink ref="E322" r:id="rId108" display="https://aei.com.do/cbr/4772"/>
    <hyperlink ref="E328" r:id="rId109" display="https://aei.com.do/cbr/4772"/>
    <hyperlink ref="E330" r:id="rId110" display="https://aei.com.do/cbr/4771"/>
    <hyperlink ref="E331" r:id="rId111" display="https://aei.com.do/cbr/4771"/>
    <hyperlink ref="E337" r:id="rId112" display="https://aei.com.do/cbr/4771"/>
    <hyperlink ref="E339" r:id="rId113" display="https://aei.com.do/cbr/4770"/>
    <hyperlink ref="E340" r:id="rId114" display="https://aei.com.do/cbr/4770"/>
    <hyperlink ref="E346" r:id="rId115" display="https://aei.com.do/cbr/4770"/>
    <hyperlink ref="E347" r:id="rId116" display="https://aei.com.do/directorio/agentes"/>
    <hyperlink ref="E348" r:id="rId117" display="https://aei.com.do/directorio/agentes?p=2"/>
    <hyperlink ref="E349" r:id="rId118" display="https://aei.com.do/directorio/agentes?p=34"/>
    <hyperlink ref="E351" r:id="rId119" display="https://aei.com.do/directorio/agentes"/>
    <hyperlink ref="E352" r:id="rId120" display="https://aei.com.do/directorio/agentes"/>
    <hyperlink ref="E353" r:id="rId121" display="https://aei.com.do/directorio/agentes"/>
    <hyperlink ref="E354" r:id="rId122" display="https://aei.com.do/directorio/agentes"/>
    <hyperlink ref="E357" r:id="rId123" location="page-top" display="https://aei.com.do/directorio/agentes - page-top"/>
  </hyperlinks>
  <pageMargins left="0.7" right="0.7" top="0.75" bottom="0.75" header="0.3" footer="0.3"/>
  <drawing r:id="rId124"/>
  <legacyDrawing r:id="rId125"/>
  <controls>
    <mc:AlternateContent xmlns:mc="http://schemas.openxmlformats.org/markup-compatibility/2006">
      <mc:Choice Requires="x14">
        <control shapeId="23555" r:id="rId126" name="Control 3">
          <controlPr defaultSize="0" r:id="rId127">
            <anchor moveWithCells="1">
              <from>
                <xdr:col>4</xdr:col>
                <xdr:colOff>0</xdr:colOff>
                <xdr:row>20</xdr:row>
                <xdr:rowOff>0</xdr:rowOff>
              </from>
              <to>
                <xdr:col>5</xdr:col>
                <xdr:colOff>152400</xdr:colOff>
                <xdr:row>21</xdr:row>
                <xdr:rowOff>44450</xdr:rowOff>
              </to>
            </anchor>
          </controlPr>
        </control>
      </mc:Choice>
      <mc:Fallback>
        <control shapeId="23555" r:id="rId126" name="Control 3"/>
      </mc:Fallback>
    </mc:AlternateContent>
  </control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5"/>
  <sheetViews>
    <sheetView topLeftCell="A28" zoomScaleNormal="100" workbookViewId="0">
      <selection activeCell="B9" sqref="B9"/>
    </sheetView>
  </sheetViews>
  <sheetFormatPr baseColWidth="10" defaultColWidth="8.7265625" defaultRowHeight="14.5"/>
  <cols>
    <col min="1" max="1" width="7.54296875" customWidth="1"/>
    <col min="2" max="2" width="12.54296875" style="2" customWidth="1"/>
    <col min="3" max="3" width="25.1796875" customWidth="1"/>
    <col min="4" max="4" width="11.81640625" customWidth="1"/>
    <col min="5" max="5" width="11.453125" customWidth="1"/>
    <col min="6" max="6" width="30.453125" customWidth="1"/>
    <col min="7" max="7" width="25.81640625" style="2" customWidth="1"/>
    <col min="8" max="8" width="15.1796875" customWidth="1"/>
    <col min="9" max="9" width="11.1796875" style="2" customWidth="1"/>
    <col min="10" max="10" width="14.81640625" customWidth="1"/>
  </cols>
  <sheetData>
    <row r="1" spans="1:8" ht="15.5">
      <c r="A1" s="209" t="s">
        <v>0</v>
      </c>
      <c r="B1" s="209"/>
      <c r="C1" s="209"/>
      <c r="D1" s="3"/>
      <c r="E1" s="4"/>
      <c r="F1" s="4"/>
      <c r="G1" s="5"/>
      <c r="H1" s="5"/>
    </row>
    <row r="2" spans="1:8" ht="15.5">
      <c r="A2" s="6" t="s">
        <v>1</v>
      </c>
      <c r="B2" s="7" t="s">
        <v>2</v>
      </c>
      <c r="C2" s="6" t="s">
        <v>3</v>
      </c>
      <c r="D2" s="3"/>
      <c r="E2" s="4"/>
      <c r="F2" s="4"/>
      <c r="G2" s="210" t="s">
        <v>4</v>
      </c>
      <c r="H2" s="210"/>
    </row>
    <row r="3" spans="1:8" ht="15.5">
      <c r="A3" s="8">
        <v>45261</v>
      </c>
      <c r="B3" s="9">
        <v>27573</v>
      </c>
      <c r="C3" s="3" t="s">
        <v>239</v>
      </c>
      <c r="D3" s="3"/>
      <c r="E3" s="4"/>
      <c r="F3" s="4"/>
      <c r="G3" s="9" t="s">
        <v>6</v>
      </c>
      <c r="H3" s="9">
        <v>20000</v>
      </c>
    </row>
    <row r="4" spans="1:8" ht="15.5">
      <c r="A4" s="8">
        <v>45261</v>
      </c>
      <c r="B4" s="2">
        <v>350</v>
      </c>
      <c r="C4" t="s">
        <v>240</v>
      </c>
      <c r="E4" s="4"/>
      <c r="F4" s="4"/>
      <c r="G4" s="9" t="s">
        <v>7</v>
      </c>
      <c r="H4" s="9">
        <v>30000</v>
      </c>
    </row>
    <row r="5" spans="1:8" ht="15.5">
      <c r="A5" s="8">
        <v>45261</v>
      </c>
      <c r="B5" s="9"/>
      <c r="C5" s="3" t="s">
        <v>241</v>
      </c>
      <c r="D5" s="3"/>
      <c r="E5" s="4"/>
      <c r="F5" s="4"/>
      <c r="G5" s="9" t="s">
        <v>9</v>
      </c>
      <c r="H5" s="9">
        <v>40000</v>
      </c>
    </row>
    <row r="6" spans="1:8" ht="15.5">
      <c r="A6" s="8">
        <v>45261</v>
      </c>
      <c r="B6" s="9">
        <v>1133</v>
      </c>
      <c r="C6" s="3" t="s">
        <v>242</v>
      </c>
      <c r="D6" s="3"/>
      <c r="E6" s="4"/>
      <c r="F6" s="4"/>
      <c r="G6" s="9" t="s">
        <v>11</v>
      </c>
      <c r="H6" s="9">
        <v>5000</v>
      </c>
    </row>
    <row r="7" spans="1:8" ht="15.5">
      <c r="A7" s="8">
        <v>45261</v>
      </c>
      <c r="B7" s="9">
        <v>50000</v>
      </c>
      <c r="C7" s="3" t="s">
        <v>243</v>
      </c>
      <c r="D7" s="3"/>
      <c r="E7" s="4"/>
      <c r="F7" s="4"/>
      <c r="G7" s="9"/>
      <c r="H7" s="9"/>
    </row>
    <row r="8" spans="1:8" ht="15.5">
      <c r="A8" s="8">
        <v>45261</v>
      </c>
      <c r="B8" s="9">
        <v>5000</v>
      </c>
      <c r="C8" s="3" t="s">
        <v>244</v>
      </c>
      <c r="D8" s="10">
        <f>+B8+B7</f>
        <v>55000</v>
      </c>
      <c r="E8" s="4"/>
      <c r="F8" s="4"/>
      <c r="G8" s="9" t="s">
        <v>13</v>
      </c>
      <c r="H8" s="9">
        <v>3000</v>
      </c>
    </row>
    <row r="9" spans="1:8" ht="15.5">
      <c r="A9" s="8">
        <v>45261</v>
      </c>
      <c r="B9" s="12">
        <v>-4293</v>
      </c>
      <c r="C9" s="3" t="s">
        <v>37</v>
      </c>
      <c r="D9" s="10">
        <f t="shared" ref="D9:D40" si="0">+D8+B9</f>
        <v>50707</v>
      </c>
      <c r="E9" s="4">
        <v>105000</v>
      </c>
      <c r="F9" s="4" t="s">
        <v>104</v>
      </c>
      <c r="G9" s="9" t="s">
        <v>15</v>
      </c>
      <c r="H9" s="9">
        <v>5000</v>
      </c>
    </row>
    <row r="10" spans="1:8" ht="15.5">
      <c r="A10" s="8">
        <v>45264</v>
      </c>
      <c r="B10" s="9">
        <v>-1646</v>
      </c>
      <c r="C10" s="3" t="s">
        <v>37</v>
      </c>
      <c r="D10" s="10">
        <f t="shared" si="0"/>
        <v>49061</v>
      </c>
      <c r="E10" s="4">
        <v>12000</v>
      </c>
      <c r="F10" s="4" t="s">
        <v>106</v>
      </c>
      <c r="G10" s="9" t="s">
        <v>18</v>
      </c>
      <c r="H10" s="9">
        <v>1500</v>
      </c>
    </row>
    <row r="11" spans="1:8" ht="15.5">
      <c r="A11" s="8">
        <v>45264</v>
      </c>
      <c r="B11" s="9">
        <v>-6200</v>
      </c>
      <c r="C11" s="3" t="s">
        <v>319</v>
      </c>
      <c r="D11" s="10">
        <f t="shared" si="0"/>
        <v>42861</v>
      </c>
      <c r="E11" s="4">
        <v>8000</v>
      </c>
      <c r="F11" s="4" t="s">
        <v>106</v>
      </c>
      <c r="G11" s="9" t="s">
        <v>19</v>
      </c>
      <c r="H11" s="9">
        <v>10000</v>
      </c>
    </row>
    <row r="12" spans="1:8" ht="15.5">
      <c r="A12" s="8">
        <v>45265</v>
      </c>
      <c r="B12" s="5">
        <v>-3000</v>
      </c>
      <c r="C12" s="18" t="s">
        <v>6</v>
      </c>
      <c r="D12" s="10">
        <f t="shared" si="0"/>
        <v>39861</v>
      </c>
      <c r="E12" s="4">
        <v>15000</v>
      </c>
      <c r="F12" s="4" t="s">
        <v>34</v>
      </c>
      <c r="G12" s="9" t="s">
        <v>21</v>
      </c>
      <c r="H12" s="9">
        <v>1500</v>
      </c>
    </row>
    <row r="13" spans="1:8" ht="15.5">
      <c r="A13" s="8">
        <v>45265</v>
      </c>
      <c r="B13" s="9">
        <v>-668</v>
      </c>
      <c r="C13" s="3" t="s">
        <v>37</v>
      </c>
      <c r="D13" s="10">
        <f t="shared" si="0"/>
        <v>39193</v>
      </c>
      <c r="E13" s="4"/>
      <c r="F13" s="4"/>
      <c r="G13" s="9" t="s">
        <v>23</v>
      </c>
      <c r="H13" s="9">
        <v>25000</v>
      </c>
    </row>
    <row r="14" spans="1:8" ht="15.5">
      <c r="A14" s="8">
        <v>45265</v>
      </c>
      <c r="B14" s="9">
        <v>-1424</v>
      </c>
      <c r="C14" s="3" t="s">
        <v>38</v>
      </c>
      <c r="D14" s="10">
        <f t="shared" si="0"/>
        <v>37769</v>
      </c>
      <c r="E14" s="4"/>
      <c r="F14" s="4"/>
      <c r="G14" s="9" t="s">
        <v>25</v>
      </c>
      <c r="H14" s="9">
        <v>1500</v>
      </c>
    </row>
    <row r="15" spans="1:8" ht="15.5">
      <c r="A15" s="8">
        <v>45265</v>
      </c>
      <c r="B15" s="9">
        <v>-2495</v>
      </c>
      <c r="C15" s="3" t="s">
        <v>19</v>
      </c>
      <c r="D15" s="10">
        <f t="shared" si="0"/>
        <v>35274</v>
      </c>
      <c r="E15" s="4"/>
      <c r="F15" s="4"/>
      <c r="G15" s="9"/>
      <c r="H15" s="9"/>
    </row>
    <row r="16" spans="1:8" ht="15.5">
      <c r="A16" s="8">
        <v>45270</v>
      </c>
      <c r="B16" s="12">
        <v>-2000</v>
      </c>
      <c r="C16" s="14" t="s">
        <v>320</v>
      </c>
      <c r="D16" s="10">
        <f t="shared" si="0"/>
        <v>33274</v>
      </c>
      <c r="E16" s="4">
        <f>SUM(E9:E15)</f>
        <v>140000</v>
      </c>
      <c r="F16" s="4"/>
      <c r="G16" s="9"/>
      <c r="H16" s="9"/>
    </row>
    <row r="17" spans="1:8" ht="15.5">
      <c r="A17" s="8">
        <v>45270</v>
      </c>
      <c r="B17" s="12">
        <v>-3000</v>
      </c>
      <c r="C17" s="14" t="s">
        <v>6</v>
      </c>
      <c r="D17" s="10">
        <f t="shared" si="0"/>
        <v>30274</v>
      </c>
      <c r="E17" s="4"/>
      <c r="F17" s="4"/>
      <c r="G17" s="15" t="s">
        <v>27</v>
      </c>
      <c r="H17" s="15">
        <f>SUM(H3:H15)</f>
        <v>142500</v>
      </c>
    </row>
    <row r="18" spans="1:8" ht="15.5">
      <c r="A18" s="8">
        <v>45271</v>
      </c>
      <c r="B18" s="9">
        <v>-6000</v>
      </c>
      <c r="C18" s="3" t="s">
        <v>321</v>
      </c>
      <c r="D18" s="10">
        <f t="shared" si="0"/>
        <v>24274</v>
      </c>
      <c r="E18" s="4"/>
      <c r="F18" s="4"/>
      <c r="G18" s="5" t="s">
        <v>29</v>
      </c>
      <c r="H18" s="5">
        <f>+H17/54</f>
        <v>2638.8888888888887</v>
      </c>
    </row>
    <row r="19" spans="1:8" ht="15.5">
      <c r="A19" s="8">
        <v>45271</v>
      </c>
      <c r="B19" s="9">
        <v>-3000</v>
      </c>
      <c r="C19" s="3" t="s">
        <v>6</v>
      </c>
      <c r="D19" s="10">
        <f t="shared" si="0"/>
        <v>21274</v>
      </c>
      <c r="E19" s="4"/>
      <c r="F19" s="4"/>
      <c r="G19" s="5"/>
      <c r="H19" s="5"/>
    </row>
    <row r="20" spans="1:8" ht="15.5">
      <c r="A20" s="8">
        <v>45271</v>
      </c>
      <c r="B20" s="12">
        <v>-6000</v>
      </c>
      <c r="C20" s="3" t="s">
        <v>322</v>
      </c>
      <c r="D20" s="10">
        <f t="shared" si="0"/>
        <v>15274</v>
      </c>
      <c r="E20" s="4"/>
      <c r="F20" s="4"/>
      <c r="G20" s="5"/>
      <c r="H20" s="5"/>
    </row>
    <row r="21" spans="1:8" ht="15.5">
      <c r="A21" s="8">
        <v>45271</v>
      </c>
      <c r="B21" s="5">
        <v>-1654</v>
      </c>
      <c r="C21" s="18" t="s">
        <v>38</v>
      </c>
      <c r="D21" s="10">
        <f t="shared" si="0"/>
        <v>13620</v>
      </c>
      <c r="E21" s="4"/>
      <c r="F21" s="4"/>
      <c r="G21" s="5" t="s">
        <v>77</v>
      </c>
      <c r="H21" s="5"/>
    </row>
    <row r="22" spans="1:8" ht="15.5">
      <c r="A22" s="8">
        <v>45275</v>
      </c>
      <c r="B22" s="9">
        <v>-5600</v>
      </c>
      <c r="C22" s="3" t="s">
        <v>323</v>
      </c>
      <c r="D22" s="10">
        <f t="shared" si="0"/>
        <v>8020</v>
      </c>
      <c r="E22" s="4"/>
      <c r="F22" s="4"/>
      <c r="G22" s="5" t="s">
        <v>78</v>
      </c>
      <c r="H22" s="5">
        <f>1100*55</f>
        <v>60500</v>
      </c>
    </row>
    <row r="23" spans="1:8" ht="15.5">
      <c r="A23" s="8">
        <v>45277</v>
      </c>
      <c r="B23" s="12">
        <v>-2000</v>
      </c>
      <c r="C23" s="14" t="s">
        <v>324</v>
      </c>
      <c r="D23" s="10">
        <f t="shared" si="0"/>
        <v>6020</v>
      </c>
      <c r="E23" s="4"/>
      <c r="F23" s="4"/>
      <c r="G23" s="5" t="s">
        <v>79</v>
      </c>
      <c r="H23" s="5">
        <v>27000</v>
      </c>
    </row>
    <row r="24" spans="1:8" ht="15.5">
      <c r="A24" s="8">
        <v>45277</v>
      </c>
      <c r="B24" s="12">
        <v>-4000</v>
      </c>
      <c r="C24" s="14" t="s">
        <v>101</v>
      </c>
      <c r="D24" s="10">
        <f t="shared" si="0"/>
        <v>2020</v>
      </c>
      <c r="E24" s="4"/>
      <c r="F24" s="4"/>
      <c r="G24" s="5"/>
      <c r="H24" s="5"/>
    </row>
    <row r="25" spans="1:8" ht="15.5">
      <c r="A25" s="8">
        <v>45277</v>
      </c>
      <c r="B25" s="12">
        <v>-1000</v>
      </c>
      <c r="C25" s="14" t="s">
        <v>325</v>
      </c>
      <c r="D25" s="10">
        <f t="shared" si="0"/>
        <v>1020</v>
      </c>
      <c r="E25" s="4"/>
      <c r="F25" s="4"/>
      <c r="G25" s="5" t="s">
        <v>27</v>
      </c>
      <c r="H25" s="17">
        <f>SUM(H22:H24)</f>
        <v>87500</v>
      </c>
    </row>
    <row r="26" spans="1:8" ht="15.5">
      <c r="A26" s="8">
        <v>45277</v>
      </c>
      <c r="B26" s="9">
        <v>-2939</v>
      </c>
      <c r="C26" s="3" t="s">
        <v>19</v>
      </c>
      <c r="D26" s="10">
        <f t="shared" si="0"/>
        <v>-1919</v>
      </c>
      <c r="E26" s="4"/>
      <c r="F26" s="4"/>
      <c r="G26" s="5"/>
      <c r="H26" s="4"/>
    </row>
    <row r="27" spans="1:8" ht="15.5">
      <c r="A27" s="8">
        <v>45278</v>
      </c>
      <c r="B27" s="9">
        <v>-1650</v>
      </c>
      <c r="C27" s="3" t="s">
        <v>326</v>
      </c>
      <c r="D27" s="10">
        <f t="shared" si="0"/>
        <v>-3569</v>
      </c>
      <c r="E27" s="4"/>
      <c r="F27" s="4"/>
      <c r="G27" s="5"/>
      <c r="H27" s="4"/>
    </row>
    <row r="28" spans="1:8" ht="15.5">
      <c r="A28" s="8">
        <v>45278</v>
      </c>
      <c r="B28" s="9">
        <v>-3290</v>
      </c>
      <c r="C28" s="3" t="s">
        <v>6</v>
      </c>
      <c r="D28" s="10">
        <f t="shared" si="0"/>
        <v>-6859</v>
      </c>
      <c r="E28" s="4"/>
      <c r="F28" s="4" t="s">
        <v>80</v>
      </c>
      <c r="G28" s="5"/>
      <c r="H28" s="4"/>
    </row>
    <row r="29" spans="1:8" ht="15.5">
      <c r="A29" s="8">
        <v>45279</v>
      </c>
      <c r="B29" s="5">
        <v>-4650</v>
      </c>
      <c r="C29" s="18" t="s">
        <v>190</v>
      </c>
      <c r="D29" s="10">
        <f t="shared" si="0"/>
        <v>-11509</v>
      </c>
      <c r="E29" s="4"/>
      <c r="F29" s="4" t="s">
        <v>81</v>
      </c>
      <c r="G29" s="5">
        <f>4700*56</f>
        <v>263200</v>
      </c>
      <c r="H29" s="5"/>
    </row>
    <row r="30" spans="1:8" ht="15.5">
      <c r="A30" s="8">
        <v>45277</v>
      </c>
      <c r="B30" s="2">
        <v>-3200</v>
      </c>
      <c r="C30" s="18" t="s">
        <v>327</v>
      </c>
      <c r="D30" s="10">
        <f t="shared" si="0"/>
        <v>-14709</v>
      </c>
      <c r="E30" s="4"/>
      <c r="F30" s="4" t="s">
        <v>82</v>
      </c>
      <c r="G30" s="5">
        <v>10000</v>
      </c>
      <c r="H30" s="5"/>
    </row>
    <row r="31" spans="1:8" ht="15.5">
      <c r="A31" s="8">
        <v>45275</v>
      </c>
      <c r="B31" s="9">
        <v>-17500</v>
      </c>
      <c r="C31" s="3" t="s">
        <v>328</v>
      </c>
      <c r="D31" s="10">
        <f t="shared" si="0"/>
        <v>-32209</v>
      </c>
      <c r="E31" s="4"/>
      <c r="F31" s="4" t="s">
        <v>83</v>
      </c>
      <c r="G31" s="5">
        <v>25000</v>
      </c>
      <c r="H31" s="5"/>
    </row>
    <row r="32" spans="1:8" ht="15.5">
      <c r="A32" s="8">
        <v>45279</v>
      </c>
      <c r="B32" s="9">
        <v>-2314</v>
      </c>
      <c r="C32" s="3" t="s">
        <v>161</v>
      </c>
      <c r="D32" s="10">
        <f t="shared" si="0"/>
        <v>-34523</v>
      </c>
      <c r="E32" s="4"/>
      <c r="F32" s="17" t="s">
        <v>84</v>
      </c>
      <c r="G32" s="5">
        <v>35000</v>
      </c>
      <c r="H32" s="5"/>
    </row>
    <row r="33" spans="1:8" ht="15.5">
      <c r="A33" s="8">
        <v>45286</v>
      </c>
      <c r="B33" s="9">
        <v>-3074</v>
      </c>
      <c r="C33" s="3" t="s">
        <v>6</v>
      </c>
      <c r="D33" s="10">
        <f t="shared" si="0"/>
        <v>-37597</v>
      </c>
      <c r="E33" s="4"/>
      <c r="F33" s="4" t="s">
        <v>85</v>
      </c>
      <c r="G33" s="5">
        <v>9000</v>
      </c>
      <c r="H33" s="5"/>
    </row>
    <row r="34" spans="1:8" ht="15.5">
      <c r="A34" s="8">
        <v>45282</v>
      </c>
      <c r="B34" s="9">
        <v>-2251</v>
      </c>
      <c r="C34" s="3" t="s">
        <v>37</v>
      </c>
      <c r="D34" s="10">
        <f t="shared" si="0"/>
        <v>-39848</v>
      </c>
      <c r="E34" s="4"/>
      <c r="F34" s="4" t="s">
        <v>86</v>
      </c>
      <c r="G34" s="5">
        <v>9000</v>
      </c>
      <c r="H34" s="5"/>
    </row>
    <row r="35" spans="1:8" ht="15.5">
      <c r="A35" s="8">
        <v>45282</v>
      </c>
      <c r="B35" s="9">
        <v>-656</v>
      </c>
      <c r="C35" s="3" t="s">
        <v>329</v>
      </c>
      <c r="D35" s="10">
        <f t="shared" si="0"/>
        <v>-40504</v>
      </c>
      <c r="E35" s="4"/>
      <c r="F35" s="4"/>
      <c r="G35" s="5"/>
      <c r="H35" s="5"/>
    </row>
    <row r="36" spans="1:8" ht="15.5">
      <c r="A36" s="8">
        <v>45281</v>
      </c>
      <c r="B36" s="9">
        <v>-475</v>
      </c>
      <c r="C36" s="3" t="s">
        <v>37</v>
      </c>
      <c r="D36" s="10">
        <f t="shared" si="0"/>
        <v>-40979</v>
      </c>
      <c r="E36" s="4"/>
      <c r="F36" s="4"/>
      <c r="G36" s="5"/>
      <c r="H36" s="5"/>
    </row>
    <row r="37" spans="1:8" ht="15.5">
      <c r="A37" s="8">
        <v>45286</v>
      </c>
      <c r="B37" s="9">
        <v>-6000</v>
      </c>
      <c r="C37" s="3" t="s">
        <v>92</v>
      </c>
      <c r="D37" s="10">
        <f t="shared" si="0"/>
        <v>-46979</v>
      </c>
      <c r="E37" s="4"/>
      <c r="F37" s="4"/>
      <c r="G37" s="5"/>
      <c r="H37" s="5"/>
    </row>
    <row r="38" spans="1:8" ht="15.5">
      <c r="A38" s="8">
        <v>45286</v>
      </c>
      <c r="B38" s="9">
        <v>-1200</v>
      </c>
      <c r="C38" s="3" t="s">
        <v>37</v>
      </c>
      <c r="D38" s="10">
        <f t="shared" si="0"/>
        <v>-48179</v>
      </c>
      <c r="E38" s="4"/>
      <c r="F38" s="4"/>
      <c r="G38" s="5"/>
      <c r="H38" s="5"/>
    </row>
    <row r="39" spans="1:8" ht="15.5">
      <c r="A39" s="8">
        <v>45287</v>
      </c>
      <c r="B39" s="9">
        <v>-3900</v>
      </c>
      <c r="C39" s="3" t="s">
        <v>330</v>
      </c>
      <c r="D39" s="10">
        <f t="shared" si="0"/>
        <v>-52079</v>
      </c>
      <c r="E39" s="4"/>
      <c r="F39" s="4"/>
      <c r="G39" s="5"/>
      <c r="H39" s="5"/>
    </row>
    <row r="40" spans="1:8" ht="15.5">
      <c r="A40" s="8">
        <v>45287</v>
      </c>
      <c r="B40" s="9">
        <v>-500</v>
      </c>
      <c r="C40" s="3" t="s">
        <v>214</v>
      </c>
      <c r="D40" s="10">
        <f t="shared" si="0"/>
        <v>-52579</v>
      </c>
      <c r="E40" s="4"/>
      <c r="F40" s="4"/>
      <c r="G40" s="5"/>
      <c r="H40" s="5"/>
    </row>
    <row r="41" spans="1:8" ht="15.5">
      <c r="A41" s="8">
        <v>45288</v>
      </c>
      <c r="B41" s="9">
        <v>-2000</v>
      </c>
      <c r="C41" s="3" t="s">
        <v>101</v>
      </c>
      <c r="D41" s="10">
        <f t="shared" ref="D41:D57" si="1">+D40+B41</f>
        <v>-54579</v>
      </c>
      <c r="E41" s="4"/>
      <c r="F41" s="4"/>
      <c r="G41" s="5"/>
      <c r="H41" s="5"/>
    </row>
    <row r="42" spans="1:8" ht="15.5">
      <c r="A42" s="8">
        <v>45288</v>
      </c>
      <c r="B42" s="9">
        <v>-800</v>
      </c>
      <c r="C42" s="3" t="s">
        <v>331</v>
      </c>
      <c r="D42" s="10">
        <f t="shared" si="1"/>
        <v>-55379</v>
      </c>
      <c r="E42" s="4"/>
      <c r="F42" s="4"/>
      <c r="G42" s="5"/>
      <c r="H42" s="5"/>
    </row>
    <row r="43" spans="1:8" ht="15.5">
      <c r="A43" s="8">
        <v>45288</v>
      </c>
      <c r="B43" s="9">
        <v>-600</v>
      </c>
      <c r="C43" s="3" t="s">
        <v>37</v>
      </c>
      <c r="D43" s="10">
        <f t="shared" si="1"/>
        <v>-55979</v>
      </c>
      <c r="E43" s="4"/>
      <c r="F43" s="4"/>
      <c r="G43" s="5"/>
      <c r="H43" s="5"/>
    </row>
    <row r="44" spans="1:8" ht="15.5">
      <c r="A44" s="8"/>
      <c r="B44" s="9"/>
      <c r="C44" s="3"/>
      <c r="D44" s="10">
        <f t="shared" si="1"/>
        <v>-55979</v>
      </c>
      <c r="E44" s="4"/>
      <c r="F44" s="4"/>
      <c r="G44" s="5"/>
      <c r="H44" s="5"/>
    </row>
    <row r="45" spans="1:8" ht="15.5">
      <c r="A45" s="8"/>
      <c r="B45" s="9"/>
      <c r="C45" s="21"/>
      <c r="D45" s="10">
        <f t="shared" si="1"/>
        <v>-55979</v>
      </c>
      <c r="E45" s="4"/>
      <c r="F45" s="4"/>
      <c r="G45" s="5"/>
      <c r="H45" s="5"/>
    </row>
    <row r="46" spans="1:8" ht="15.5">
      <c r="A46" s="8"/>
      <c r="B46" s="9"/>
      <c r="C46" s="3"/>
      <c r="D46" s="10">
        <f t="shared" si="1"/>
        <v>-55979</v>
      </c>
      <c r="E46" s="4"/>
      <c r="F46" s="4"/>
      <c r="G46" s="5"/>
      <c r="H46" s="5"/>
    </row>
    <row r="47" spans="1:8" ht="15.5">
      <c r="A47" s="8"/>
      <c r="B47" s="9"/>
      <c r="C47" s="3"/>
      <c r="D47" s="10">
        <f t="shared" si="1"/>
        <v>-55979</v>
      </c>
      <c r="E47" s="4"/>
      <c r="F47" s="4"/>
      <c r="G47" s="5"/>
      <c r="H47" s="5"/>
    </row>
    <row r="48" spans="1:8" ht="15.5">
      <c r="A48" s="8"/>
      <c r="B48" s="9"/>
      <c r="C48" s="3"/>
      <c r="D48" s="10">
        <f t="shared" si="1"/>
        <v>-55979</v>
      </c>
      <c r="E48" s="4"/>
      <c r="F48" s="4"/>
      <c r="G48" s="5"/>
      <c r="H48" s="5"/>
    </row>
    <row r="49" spans="1:8" ht="15.5">
      <c r="A49" s="8"/>
      <c r="B49" s="9"/>
      <c r="C49" s="3"/>
      <c r="D49" s="10">
        <f t="shared" si="1"/>
        <v>-55979</v>
      </c>
      <c r="E49" s="4"/>
      <c r="F49" s="4"/>
      <c r="G49" s="5"/>
      <c r="H49" s="5"/>
    </row>
    <row r="50" spans="1:8" ht="15.5">
      <c r="A50" s="8"/>
      <c r="B50" s="9"/>
      <c r="C50" s="3"/>
      <c r="D50" s="10">
        <f t="shared" si="1"/>
        <v>-55979</v>
      </c>
      <c r="E50" s="4"/>
      <c r="F50" s="4"/>
      <c r="G50" s="5"/>
      <c r="H50" s="5"/>
    </row>
    <row r="51" spans="1:8" ht="15.5">
      <c r="A51" s="8"/>
      <c r="B51" s="9"/>
      <c r="C51" s="3"/>
      <c r="D51" s="10">
        <f t="shared" si="1"/>
        <v>-55979</v>
      </c>
      <c r="E51" s="4"/>
      <c r="F51" s="4"/>
      <c r="G51" s="5"/>
      <c r="H51" s="5"/>
    </row>
    <row r="52" spans="1:8" ht="15.5">
      <c r="A52" s="8"/>
      <c r="B52" s="9"/>
      <c r="C52" s="3"/>
      <c r="D52" s="10">
        <f t="shared" si="1"/>
        <v>-55979</v>
      </c>
      <c r="E52" s="4"/>
      <c r="F52" s="4"/>
      <c r="G52" s="5"/>
      <c r="H52" s="5"/>
    </row>
    <row r="53" spans="1:8" ht="15.5">
      <c r="A53" s="8"/>
      <c r="B53" s="9"/>
      <c r="C53" s="3"/>
      <c r="D53" s="10">
        <f t="shared" si="1"/>
        <v>-55979</v>
      </c>
      <c r="E53" s="4"/>
      <c r="F53" s="4"/>
      <c r="G53" s="5"/>
      <c r="H53" s="5"/>
    </row>
    <row r="54" spans="1:8" ht="15.5">
      <c r="A54" s="8"/>
      <c r="B54" s="9">
        <f>SUM(B9:B53)</f>
        <v>-110979</v>
      </c>
      <c r="C54" s="3"/>
      <c r="D54" s="10">
        <f t="shared" si="1"/>
        <v>-166958</v>
      </c>
      <c r="E54" s="4"/>
      <c r="F54" s="4"/>
      <c r="G54" s="5"/>
      <c r="H54" s="5"/>
    </row>
    <row r="55" spans="1:8" ht="15.5">
      <c r="A55" s="8"/>
      <c r="B55" s="9"/>
      <c r="C55" s="3"/>
      <c r="D55" s="10">
        <f t="shared" si="1"/>
        <v>-166958</v>
      </c>
      <c r="E55" s="4"/>
      <c r="F55" s="4"/>
      <c r="G55" s="5"/>
      <c r="H55" s="5"/>
    </row>
    <row r="56" spans="1:8" ht="15.5">
      <c r="A56" s="8"/>
      <c r="B56" s="9"/>
      <c r="C56" s="3"/>
      <c r="D56" s="10">
        <f t="shared" si="1"/>
        <v>-166958</v>
      </c>
      <c r="E56" s="4"/>
      <c r="F56" s="4"/>
      <c r="G56" s="5"/>
      <c r="H56" s="5"/>
    </row>
    <row r="57" spans="1:8" ht="15.5">
      <c r="A57" s="8"/>
      <c r="B57" s="9"/>
      <c r="C57" s="3"/>
      <c r="D57" s="10">
        <f t="shared" si="1"/>
        <v>-166958</v>
      </c>
      <c r="E57" s="4"/>
      <c r="F57" s="4"/>
      <c r="G57" s="5"/>
      <c r="H57" s="5"/>
    </row>
    <row r="58" spans="1:8" ht="15.5">
      <c r="A58" s="8"/>
      <c r="B58" s="9"/>
      <c r="C58" s="3"/>
      <c r="D58" s="10"/>
      <c r="E58" s="4"/>
      <c r="F58" s="4"/>
      <c r="G58" s="5"/>
      <c r="H58" s="5"/>
    </row>
    <row r="59" spans="1:8" ht="15.5">
      <c r="A59" s="8"/>
      <c r="B59" s="9"/>
      <c r="C59" s="3"/>
      <c r="D59" s="22"/>
      <c r="E59" s="4"/>
      <c r="F59" s="4"/>
      <c r="G59" s="5"/>
      <c r="H59" s="5"/>
    </row>
    <row r="60" spans="1:8" ht="15.5">
      <c r="A60" s="8"/>
      <c r="B60" s="9"/>
      <c r="C60" s="3"/>
      <c r="D60" s="22"/>
      <c r="E60" s="4"/>
      <c r="F60" s="4"/>
      <c r="G60" s="5"/>
      <c r="H60" s="5"/>
    </row>
    <row r="61" spans="1:8" ht="15.5">
      <c r="A61" s="8"/>
      <c r="B61" s="9"/>
      <c r="C61" s="3"/>
      <c r="D61" s="22"/>
      <c r="E61" s="4"/>
      <c r="F61" s="4"/>
      <c r="G61" s="5"/>
      <c r="H61" s="5"/>
    </row>
    <row r="62" spans="1:8" ht="15.5">
      <c r="A62" s="8"/>
      <c r="B62" s="9"/>
      <c r="C62" s="3"/>
      <c r="D62" s="22"/>
      <c r="E62" s="4"/>
      <c r="F62" s="4"/>
      <c r="G62" s="5"/>
      <c r="H62" s="5"/>
    </row>
    <row r="63" spans="1:8" ht="15.5">
      <c r="A63" s="8"/>
      <c r="B63" s="9"/>
      <c r="C63" s="3"/>
      <c r="D63" s="22"/>
      <c r="E63" s="4"/>
      <c r="F63" s="4"/>
      <c r="G63" s="5"/>
      <c r="H63" s="5"/>
    </row>
    <row r="64" spans="1:8" ht="15.5">
      <c r="A64" s="8"/>
      <c r="B64" s="9"/>
      <c r="C64" s="3"/>
      <c r="D64" s="22"/>
      <c r="E64" s="4"/>
      <c r="F64" s="4"/>
      <c r="G64" s="5"/>
      <c r="H64" s="5"/>
    </row>
    <row r="65" spans="1:10" ht="15.5">
      <c r="A65" s="8"/>
      <c r="B65" s="9"/>
      <c r="C65" s="3"/>
      <c r="D65" s="22"/>
      <c r="E65" s="4"/>
      <c r="F65" s="4"/>
      <c r="G65" s="5"/>
      <c r="H65" s="5"/>
    </row>
    <row r="66" spans="1:10" ht="15.5">
      <c r="A66" s="8"/>
      <c r="B66" s="9"/>
      <c r="C66" s="3"/>
      <c r="D66" s="22"/>
      <c r="E66" s="4"/>
      <c r="F66" s="4"/>
      <c r="G66" s="5"/>
      <c r="H66" s="5"/>
    </row>
    <row r="67" spans="1:10" ht="15.5">
      <c r="A67" s="8"/>
      <c r="B67" s="9"/>
      <c r="C67" s="3"/>
      <c r="D67" s="22"/>
      <c r="E67" s="4"/>
      <c r="F67" s="4"/>
      <c r="G67" s="5"/>
      <c r="H67" s="5"/>
    </row>
    <row r="68" spans="1:10" ht="15.5">
      <c r="A68" s="8"/>
      <c r="B68" s="9"/>
      <c r="C68" s="3"/>
      <c r="D68" s="22"/>
      <c r="E68" s="4"/>
      <c r="F68" s="4"/>
      <c r="G68" s="5"/>
      <c r="H68" s="5"/>
    </row>
    <row r="69" spans="1:10" ht="15.5">
      <c r="A69" s="8"/>
      <c r="B69" s="9"/>
      <c r="C69" s="3"/>
      <c r="D69" s="22"/>
      <c r="E69" s="4"/>
      <c r="F69" s="4"/>
      <c r="G69" s="5"/>
      <c r="H69" s="5"/>
    </row>
    <row r="70" spans="1:10" ht="15.5">
      <c r="A70" s="8">
        <v>45232</v>
      </c>
      <c r="B70" s="12"/>
      <c r="C70" s="14" t="s">
        <v>30</v>
      </c>
      <c r="D70" s="10">
        <f t="shared" ref="D70:D101" si="2">+D69+B70</f>
        <v>0</v>
      </c>
      <c r="E70" s="4"/>
      <c r="F70" s="4"/>
      <c r="G70" s="5"/>
      <c r="H70" s="5"/>
    </row>
    <row r="71" spans="1:10" ht="15.5">
      <c r="A71" s="8">
        <v>45232</v>
      </c>
      <c r="B71" s="12"/>
      <c r="C71" s="14" t="s">
        <v>19</v>
      </c>
      <c r="D71" s="10">
        <f t="shared" si="2"/>
        <v>0</v>
      </c>
      <c r="E71" s="4"/>
      <c r="F71" s="4"/>
      <c r="G71" s="5"/>
      <c r="H71" s="5"/>
    </row>
    <row r="72" spans="1:10" ht="15.5">
      <c r="A72" s="8">
        <v>45233</v>
      </c>
      <c r="B72" s="9">
        <v>-500</v>
      </c>
      <c r="C72" s="3" t="s">
        <v>31</v>
      </c>
      <c r="D72" s="10">
        <f t="shared" si="2"/>
        <v>-500</v>
      </c>
      <c r="E72" s="4"/>
      <c r="F72" s="4"/>
      <c r="G72" s="5"/>
      <c r="H72" s="5"/>
      <c r="J72" s="2"/>
    </row>
    <row r="73" spans="1:10" ht="15.5">
      <c r="A73" s="8">
        <v>45234</v>
      </c>
      <c r="B73" s="2">
        <v>-2300</v>
      </c>
      <c r="C73" s="16" t="s">
        <v>6</v>
      </c>
      <c r="D73" s="10">
        <f t="shared" si="2"/>
        <v>-2800</v>
      </c>
      <c r="E73" s="4"/>
      <c r="F73" s="4"/>
      <c r="G73" s="5"/>
      <c r="H73" s="5"/>
    </row>
    <row r="74" spans="1:10" ht="15.5">
      <c r="A74" s="8">
        <v>45234</v>
      </c>
      <c r="B74" s="12">
        <v>-1300</v>
      </c>
      <c r="C74" s="14" t="s">
        <v>32</v>
      </c>
      <c r="D74" s="10">
        <f t="shared" si="2"/>
        <v>-4100</v>
      </c>
      <c r="E74" s="4"/>
      <c r="F74" s="4"/>
      <c r="G74" s="5">
        <f>SUM(G29:G73)</f>
        <v>351200</v>
      </c>
      <c r="H74" s="5"/>
    </row>
    <row r="75" spans="1:10" ht="15.5">
      <c r="A75" s="8">
        <v>45234</v>
      </c>
      <c r="B75" s="12">
        <v>-1200</v>
      </c>
      <c r="C75" s="14" t="s">
        <v>33</v>
      </c>
      <c r="D75" s="10">
        <f t="shared" si="2"/>
        <v>-5300</v>
      </c>
      <c r="E75" s="4"/>
      <c r="F75" s="4"/>
      <c r="G75" s="5"/>
      <c r="H75" s="5"/>
      <c r="J75" s="11"/>
    </row>
    <row r="76" spans="1:10" ht="15.5">
      <c r="A76" s="8">
        <v>45235</v>
      </c>
      <c r="B76" s="9">
        <f>-300*56</f>
        <v>-16800</v>
      </c>
      <c r="C76" s="3" t="s">
        <v>34</v>
      </c>
      <c r="D76" s="10">
        <f t="shared" si="2"/>
        <v>-22100</v>
      </c>
      <c r="E76" s="4"/>
      <c r="F76" s="4"/>
      <c r="G76" s="5"/>
      <c r="H76" s="5"/>
    </row>
    <row r="77" spans="1:10" ht="15.5">
      <c r="A77" s="8">
        <v>45238</v>
      </c>
      <c r="B77" s="9">
        <v>-600</v>
      </c>
      <c r="C77" s="3" t="s">
        <v>35</v>
      </c>
      <c r="D77" s="10">
        <f t="shared" si="2"/>
        <v>-22700</v>
      </c>
      <c r="E77" s="4"/>
      <c r="F77" s="4"/>
      <c r="G77" s="5"/>
      <c r="H77" s="5"/>
    </row>
    <row r="78" spans="1:10" ht="15.5">
      <c r="A78" s="8">
        <v>45238</v>
      </c>
      <c r="B78" s="9"/>
      <c r="C78" s="3" t="s">
        <v>36</v>
      </c>
      <c r="D78" s="10">
        <f t="shared" si="2"/>
        <v>-22700</v>
      </c>
      <c r="E78" s="4"/>
      <c r="F78" s="4"/>
      <c r="G78" s="5"/>
      <c r="H78" s="5"/>
    </row>
    <row r="79" spans="1:10" ht="15.5">
      <c r="A79" s="8">
        <v>45238</v>
      </c>
      <c r="B79" s="9"/>
      <c r="C79" s="3" t="s">
        <v>37</v>
      </c>
      <c r="D79" s="10">
        <f t="shared" si="2"/>
        <v>-22700</v>
      </c>
      <c r="E79" s="4"/>
      <c r="F79" s="17"/>
      <c r="G79" s="5"/>
      <c r="H79" s="5"/>
    </row>
    <row r="80" spans="1:10" ht="15.5">
      <c r="A80" s="8">
        <v>45234</v>
      </c>
      <c r="B80" s="9">
        <v>-1424</v>
      </c>
      <c r="C80" s="3" t="s">
        <v>38</v>
      </c>
      <c r="D80" s="10">
        <f t="shared" si="2"/>
        <v>-24124</v>
      </c>
      <c r="E80" s="4"/>
      <c r="F80" s="4"/>
      <c r="G80" s="5"/>
      <c r="H80" s="5"/>
    </row>
    <row r="81" spans="1:10" ht="15.5">
      <c r="A81" s="8">
        <v>45238</v>
      </c>
      <c r="B81" s="9"/>
      <c r="C81" s="3"/>
      <c r="D81" s="10">
        <f t="shared" si="2"/>
        <v>-24124</v>
      </c>
      <c r="E81" s="4"/>
      <c r="F81" s="4"/>
      <c r="G81" s="5"/>
      <c r="H81" s="5"/>
    </row>
    <row r="82" spans="1:10" ht="15.5">
      <c r="A82" s="8">
        <v>45240</v>
      </c>
      <c r="B82" s="2">
        <v>-1000</v>
      </c>
      <c r="C82" s="18" t="s">
        <v>31</v>
      </c>
      <c r="D82" s="10">
        <f t="shared" si="2"/>
        <v>-25124</v>
      </c>
      <c r="E82" s="4"/>
      <c r="F82" s="4"/>
      <c r="G82" s="5"/>
      <c r="H82" s="5"/>
    </row>
    <row r="83" spans="1:10" ht="15.5">
      <c r="A83" s="8">
        <v>45239</v>
      </c>
      <c r="B83" s="9">
        <v>-500</v>
      </c>
      <c r="C83" s="3" t="s">
        <v>37</v>
      </c>
      <c r="D83" s="10">
        <f t="shared" si="2"/>
        <v>-25624</v>
      </c>
      <c r="E83" s="4"/>
      <c r="F83" s="4"/>
      <c r="G83" s="5"/>
      <c r="H83" s="5"/>
    </row>
    <row r="84" spans="1:10" ht="15.5">
      <c r="A84" s="8">
        <v>45237</v>
      </c>
      <c r="B84" s="9">
        <v>-2400</v>
      </c>
      <c r="C84" s="3" t="s">
        <v>6</v>
      </c>
      <c r="D84" s="10">
        <f t="shared" si="2"/>
        <v>-28024</v>
      </c>
      <c r="E84" s="4"/>
      <c r="F84" s="4"/>
      <c r="G84" s="5"/>
      <c r="H84" s="5"/>
      <c r="J84" s="11">
        <v>284865</v>
      </c>
    </row>
    <row r="85" spans="1:10" ht="15.5">
      <c r="A85" s="8">
        <v>45237</v>
      </c>
      <c r="B85" s="9">
        <v>-1097</v>
      </c>
      <c r="C85" s="3" t="s">
        <v>33</v>
      </c>
      <c r="D85" s="10">
        <f t="shared" si="2"/>
        <v>-29121</v>
      </c>
      <c r="E85" s="4"/>
      <c r="F85" s="4" t="s">
        <v>39</v>
      </c>
      <c r="G85" s="2">
        <v>385000</v>
      </c>
      <c r="H85" s="5"/>
    </row>
    <row r="86" spans="1:10" ht="15.5">
      <c r="A86" s="8">
        <v>45237</v>
      </c>
      <c r="B86" s="9">
        <v>-1150</v>
      </c>
      <c r="C86" s="3" t="s">
        <v>40</v>
      </c>
      <c r="D86" s="10">
        <f t="shared" si="2"/>
        <v>-30271</v>
      </c>
      <c r="E86" s="4"/>
      <c r="F86" s="4" t="s">
        <v>41</v>
      </c>
      <c r="G86" s="2">
        <v>-3133.64</v>
      </c>
      <c r="H86" s="5"/>
    </row>
    <row r="87" spans="1:10" ht="15.5">
      <c r="A87" s="8">
        <v>45237</v>
      </c>
      <c r="B87" s="9">
        <v>-731</v>
      </c>
      <c r="C87" s="3" t="s">
        <v>42</v>
      </c>
      <c r="D87" s="10">
        <f t="shared" si="2"/>
        <v>-31002</v>
      </c>
      <c r="E87" s="4"/>
      <c r="F87" s="19" t="s">
        <v>43</v>
      </c>
      <c r="G87" s="2">
        <v>-368.66</v>
      </c>
      <c r="H87" s="5"/>
    </row>
    <row r="88" spans="1:10" ht="15.5">
      <c r="A88" s="8">
        <v>45239</v>
      </c>
      <c r="B88" s="9">
        <v>-3050</v>
      </c>
      <c r="C88" s="3" t="s">
        <v>37</v>
      </c>
      <c r="D88" s="10">
        <f t="shared" si="2"/>
        <v>-34052</v>
      </c>
      <c r="E88" s="4"/>
      <c r="F88" s="4" t="s">
        <v>44</v>
      </c>
      <c r="G88" s="2">
        <v>-1163.1300000000001</v>
      </c>
      <c r="H88" s="5"/>
    </row>
    <row r="89" spans="1:10" ht="15.5">
      <c r="A89" s="8">
        <v>45239</v>
      </c>
      <c r="B89" s="9">
        <v>-1173</v>
      </c>
      <c r="C89" s="3" t="s">
        <v>37</v>
      </c>
      <c r="D89" s="10">
        <f t="shared" si="2"/>
        <v>-35225</v>
      </c>
      <c r="E89" s="4"/>
      <c r="F89" s="4" t="s">
        <v>45</v>
      </c>
      <c r="G89" s="2">
        <v>-553</v>
      </c>
      <c r="H89" s="5"/>
    </row>
    <row r="90" spans="1:10" ht="15.5">
      <c r="A90" s="20">
        <v>45258</v>
      </c>
      <c r="B90" s="2">
        <v>-670</v>
      </c>
      <c r="C90" s="18" t="s">
        <v>19</v>
      </c>
      <c r="D90" s="10">
        <f t="shared" si="2"/>
        <v>-35895</v>
      </c>
      <c r="E90" s="4"/>
      <c r="F90" s="4" t="s">
        <v>46</v>
      </c>
      <c r="G90" s="2">
        <v>-553</v>
      </c>
      <c r="H90" s="5"/>
    </row>
    <row r="91" spans="1:10" ht="15.5">
      <c r="A91" s="20">
        <v>45258</v>
      </c>
      <c r="B91" s="2">
        <v>-1412</v>
      </c>
      <c r="C91" s="18" t="s">
        <v>38</v>
      </c>
      <c r="D91" s="10">
        <f t="shared" si="2"/>
        <v>-37307</v>
      </c>
      <c r="E91" s="4"/>
      <c r="F91" s="4" t="s">
        <v>47</v>
      </c>
      <c r="G91" s="2">
        <v>-553</v>
      </c>
      <c r="H91" s="5"/>
    </row>
    <row r="92" spans="1:10" ht="15.5">
      <c r="A92" s="8">
        <v>45257</v>
      </c>
      <c r="B92" s="9">
        <v>-3000</v>
      </c>
      <c r="C92" s="3" t="s">
        <v>6</v>
      </c>
      <c r="D92" s="10">
        <f t="shared" si="2"/>
        <v>-40307</v>
      </c>
      <c r="E92" s="4"/>
      <c r="H92" s="5"/>
    </row>
    <row r="93" spans="1:10" ht="15.5">
      <c r="A93" s="8">
        <v>45257</v>
      </c>
      <c r="B93" s="9">
        <v>-265</v>
      </c>
      <c r="C93" s="3" t="s">
        <v>37</v>
      </c>
      <c r="D93" s="10">
        <f t="shared" si="2"/>
        <v>-40572</v>
      </c>
      <c r="E93" s="4"/>
      <c r="F93" s="4" t="s">
        <v>48</v>
      </c>
      <c r="G93" s="2">
        <f>SUM(G85:G91)</f>
        <v>378675.57</v>
      </c>
      <c r="H93" s="5"/>
    </row>
    <row r="94" spans="1:10" ht="15.5">
      <c r="A94" s="8">
        <v>45257</v>
      </c>
      <c r="B94" s="9">
        <v>-835.44</v>
      </c>
      <c r="C94" s="3"/>
      <c r="D94" s="10">
        <f t="shared" si="2"/>
        <v>-41407.440000000002</v>
      </c>
      <c r="E94" s="4"/>
      <c r="F94" s="4" t="s">
        <v>49</v>
      </c>
      <c r="G94" s="2">
        <f>+G93*0.25</f>
        <v>94668.892500000002</v>
      </c>
      <c r="H94" s="5"/>
    </row>
    <row r="95" spans="1:10" ht="15.5">
      <c r="A95" s="8">
        <v>45257</v>
      </c>
      <c r="B95" s="9">
        <v>-8849</v>
      </c>
      <c r="C95" s="3" t="s">
        <v>37</v>
      </c>
      <c r="D95" s="10">
        <f t="shared" si="2"/>
        <v>-50256.44</v>
      </c>
      <c r="E95" s="4"/>
      <c r="F95" s="4" t="s">
        <v>50</v>
      </c>
      <c r="G95" s="5">
        <v>-90000</v>
      </c>
      <c r="H95" s="5"/>
      <c r="J95" s="2"/>
    </row>
    <row r="96" spans="1:10" ht="15.5">
      <c r="A96" s="8">
        <v>45257</v>
      </c>
      <c r="B96" s="9"/>
      <c r="C96" s="3" t="s">
        <v>51</v>
      </c>
      <c r="D96" s="10">
        <f t="shared" si="2"/>
        <v>-50256.44</v>
      </c>
      <c r="E96" s="4"/>
      <c r="F96" s="4" t="s">
        <v>52</v>
      </c>
      <c r="G96" s="5">
        <f>SUM(G94:G95)</f>
        <v>4668.8925000000017</v>
      </c>
      <c r="H96" s="5"/>
    </row>
    <row r="97" spans="1:10" ht="15.5">
      <c r="A97" s="8">
        <v>45254</v>
      </c>
      <c r="B97" s="9">
        <v>-730</v>
      </c>
      <c r="C97" s="3" t="s">
        <v>53</v>
      </c>
      <c r="D97" s="10">
        <f t="shared" si="2"/>
        <v>-50986.44</v>
      </c>
      <c r="E97" s="4"/>
      <c r="F97" s="4"/>
      <c r="G97" s="5"/>
      <c r="H97" s="5"/>
    </row>
    <row r="98" spans="1:10" ht="15.5">
      <c r="A98" s="8">
        <v>45244</v>
      </c>
      <c r="B98" s="9">
        <v>-350</v>
      </c>
      <c r="C98" s="3" t="s">
        <v>53</v>
      </c>
      <c r="D98" s="10">
        <f t="shared" si="2"/>
        <v>-51336.44</v>
      </c>
      <c r="E98" s="4"/>
      <c r="F98" s="4"/>
      <c r="G98" s="5"/>
      <c r="H98" s="5"/>
      <c r="J98" s="11"/>
    </row>
    <row r="99" spans="1:10" ht="15.5">
      <c r="A99" s="8">
        <v>45243</v>
      </c>
      <c r="B99" s="9">
        <v>-2901</v>
      </c>
      <c r="C99" s="3" t="s">
        <v>6</v>
      </c>
      <c r="D99" s="10">
        <f t="shared" si="2"/>
        <v>-54237.440000000002</v>
      </c>
      <c r="E99" s="4"/>
      <c r="F99" s="4"/>
      <c r="G99" s="5"/>
      <c r="H99" s="5"/>
    </row>
    <row r="100" spans="1:10" ht="15.5">
      <c r="A100" s="8">
        <v>45240</v>
      </c>
      <c r="B100" s="9">
        <v>-1654</v>
      </c>
      <c r="C100" s="3" t="s">
        <v>38</v>
      </c>
      <c r="D100" s="10">
        <f t="shared" si="2"/>
        <v>-55891.44</v>
      </c>
      <c r="E100" s="4"/>
      <c r="F100" s="4"/>
      <c r="G100" s="5"/>
      <c r="H100" s="5">
        <v>284865</v>
      </c>
    </row>
    <row r="101" spans="1:10" ht="15.5">
      <c r="A101" s="8">
        <v>45239</v>
      </c>
      <c r="B101" s="9">
        <v>-2191</v>
      </c>
      <c r="C101" s="3" t="s">
        <v>37</v>
      </c>
      <c r="D101" s="10">
        <f t="shared" si="2"/>
        <v>-58082.44</v>
      </c>
      <c r="E101" s="4"/>
      <c r="F101" s="4"/>
      <c r="G101" s="5"/>
      <c r="H101" s="5">
        <v>90000</v>
      </c>
    </row>
    <row r="102" spans="1:10" ht="15.5">
      <c r="A102" s="8">
        <v>45257</v>
      </c>
      <c r="B102" s="9">
        <v>-3000</v>
      </c>
      <c r="C102" s="3" t="s">
        <v>31</v>
      </c>
      <c r="D102" s="10">
        <f t="shared" ref="D102:D118" si="3">+D101+B102</f>
        <v>-61082.44</v>
      </c>
      <c r="E102" s="4"/>
      <c r="F102" s="17">
        <f>SUM(B25:B100)</f>
        <v>-224869.44</v>
      </c>
      <c r="G102" s="5"/>
      <c r="H102" s="5">
        <v>5000</v>
      </c>
    </row>
    <row r="103" spans="1:10" ht="15.5">
      <c r="A103" s="8">
        <v>45257</v>
      </c>
      <c r="B103" s="9"/>
      <c r="C103" s="3" t="s">
        <v>54</v>
      </c>
      <c r="D103" s="10">
        <f t="shared" si="3"/>
        <v>-61082.44</v>
      </c>
      <c r="E103" s="4"/>
      <c r="F103" s="4"/>
      <c r="G103" s="5"/>
      <c r="H103" s="5">
        <f>SUM(H100:H102)</f>
        <v>379865</v>
      </c>
    </row>
    <row r="104" spans="1:10" ht="15.5">
      <c r="A104" s="8">
        <v>45257</v>
      </c>
      <c r="B104" s="9"/>
      <c r="C104" s="3" t="s">
        <v>55</v>
      </c>
      <c r="D104" s="10">
        <f t="shared" si="3"/>
        <v>-61082.44</v>
      </c>
      <c r="E104" s="4"/>
      <c r="F104" s="4"/>
      <c r="G104" s="5"/>
      <c r="H104" s="5"/>
    </row>
    <row r="105" spans="1:10" ht="15.5">
      <c r="A105" s="8">
        <v>45257</v>
      </c>
      <c r="B105" s="9">
        <v>-12000</v>
      </c>
      <c r="C105" s="3" t="s">
        <v>56</v>
      </c>
      <c r="D105" s="10">
        <f t="shared" si="3"/>
        <v>-73082.44</v>
      </c>
      <c r="E105" s="4"/>
      <c r="F105" s="4"/>
      <c r="G105" s="5"/>
      <c r="H105" s="5"/>
    </row>
    <row r="106" spans="1:10" ht="15.5">
      <c r="A106" s="8">
        <v>45260</v>
      </c>
      <c r="B106" s="9">
        <v>-2000</v>
      </c>
      <c r="C106" s="21" t="s">
        <v>31</v>
      </c>
      <c r="D106" s="10">
        <f t="shared" si="3"/>
        <v>-75082.44</v>
      </c>
      <c r="E106" s="4"/>
      <c r="F106" s="4"/>
      <c r="G106" s="5"/>
      <c r="H106" s="5"/>
    </row>
    <row r="107" spans="1:10" ht="15.5">
      <c r="A107" s="8">
        <v>45260</v>
      </c>
      <c r="B107" s="9">
        <v>-1000</v>
      </c>
      <c r="C107" s="3" t="s">
        <v>57</v>
      </c>
      <c r="D107" s="10">
        <f t="shared" si="3"/>
        <v>-76082.44</v>
      </c>
      <c r="E107" s="4"/>
      <c r="F107" s="4"/>
      <c r="G107" s="5"/>
      <c r="H107" s="5"/>
    </row>
    <row r="108" spans="1:10" ht="15.5">
      <c r="A108" s="8"/>
      <c r="B108" s="9"/>
      <c r="C108" s="3"/>
      <c r="D108" s="10">
        <f t="shared" si="3"/>
        <v>-76082.44</v>
      </c>
      <c r="E108" s="4"/>
      <c r="F108" s="4"/>
      <c r="G108" s="5"/>
      <c r="H108" s="5"/>
    </row>
    <row r="109" spans="1:10" ht="15.5">
      <c r="A109" s="8"/>
      <c r="B109" s="9"/>
      <c r="C109" s="3"/>
      <c r="D109" s="10">
        <f t="shared" si="3"/>
        <v>-76082.44</v>
      </c>
      <c r="E109" s="4"/>
      <c r="F109" s="4"/>
      <c r="G109" s="5"/>
      <c r="H109" s="5"/>
    </row>
    <row r="110" spans="1:10" ht="15.5">
      <c r="A110" s="8"/>
      <c r="B110" s="9"/>
      <c r="C110" s="3"/>
      <c r="D110" s="10">
        <f t="shared" si="3"/>
        <v>-76082.44</v>
      </c>
      <c r="E110" s="4"/>
      <c r="F110" s="4"/>
      <c r="G110" s="5"/>
      <c r="H110" s="5"/>
    </row>
    <row r="111" spans="1:10" ht="15.5">
      <c r="A111" s="8"/>
      <c r="B111" s="9">
        <f>SUM(B70:B110)</f>
        <v>-76082.44</v>
      </c>
      <c r="C111" s="3"/>
      <c r="D111" s="10">
        <f t="shared" si="3"/>
        <v>-152164.88</v>
      </c>
      <c r="E111" s="4"/>
      <c r="F111" s="4"/>
      <c r="G111" s="5"/>
      <c r="H111" s="5"/>
    </row>
    <row r="112" spans="1:10" ht="15.5">
      <c r="A112" s="8"/>
      <c r="B112" s="9"/>
      <c r="C112" s="3"/>
      <c r="D112" s="10">
        <f t="shared" si="3"/>
        <v>-152164.88</v>
      </c>
      <c r="E112" s="4"/>
      <c r="F112" s="4"/>
      <c r="G112" s="5"/>
      <c r="H112" s="5"/>
    </row>
    <row r="113" spans="1:8" ht="15.5">
      <c r="A113" s="8"/>
      <c r="B113" s="9"/>
      <c r="C113" s="3"/>
      <c r="D113" s="10">
        <f t="shared" si="3"/>
        <v>-152164.88</v>
      </c>
      <c r="E113" s="4"/>
      <c r="F113" s="4"/>
      <c r="G113" s="5"/>
      <c r="H113" s="5"/>
    </row>
    <row r="114" spans="1:8" ht="15.5">
      <c r="A114" s="8"/>
      <c r="B114" s="9"/>
      <c r="C114" s="3"/>
      <c r="D114" s="10">
        <f t="shared" si="3"/>
        <v>-152164.88</v>
      </c>
      <c r="E114" s="4"/>
      <c r="F114" s="4"/>
      <c r="G114" s="5"/>
      <c r="H114" s="5"/>
    </row>
    <row r="115" spans="1:8" ht="15.5">
      <c r="A115" s="8"/>
      <c r="B115" s="9">
        <f>SUM(B70:B114)</f>
        <v>-152164.88</v>
      </c>
      <c r="C115" s="3"/>
      <c r="D115" s="10">
        <f t="shared" si="3"/>
        <v>-304329.76</v>
      </c>
      <c r="E115" s="4"/>
      <c r="F115" s="4"/>
      <c r="G115" s="5"/>
      <c r="H115" s="5"/>
    </row>
    <row r="116" spans="1:8" ht="15.5">
      <c r="A116" s="8"/>
      <c r="B116" s="9"/>
      <c r="C116" s="3"/>
      <c r="D116" s="10">
        <f t="shared" si="3"/>
        <v>-304329.76</v>
      </c>
      <c r="E116" s="4"/>
      <c r="F116" s="4"/>
      <c r="G116" s="5"/>
      <c r="H116" s="5"/>
    </row>
    <row r="117" spans="1:8" ht="15.5">
      <c r="A117" s="8"/>
      <c r="B117" s="9"/>
      <c r="C117" s="3"/>
      <c r="D117" s="22">
        <f t="shared" si="3"/>
        <v>-304329.76</v>
      </c>
      <c r="E117" s="4"/>
      <c r="F117" s="4"/>
      <c r="G117" s="5"/>
      <c r="H117" s="5"/>
    </row>
    <row r="118" spans="1:8" ht="15.5">
      <c r="A118" s="8"/>
      <c r="B118" s="9"/>
      <c r="C118" s="3"/>
      <c r="D118" s="22">
        <f t="shared" si="3"/>
        <v>-304329.76</v>
      </c>
      <c r="E118" s="4"/>
      <c r="F118" s="4"/>
      <c r="G118" s="5"/>
      <c r="H118" s="5"/>
    </row>
    <row r="119" spans="1:8" ht="15.5">
      <c r="A119" s="8"/>
      <c r="B119" s="9"/>
      <c r="C119" s="3"/>
      <c r="D119" s="22"/>
      <c r="E119" s="4"/>
      <c r="F119" s="4"/>
      <c r="G119" s="5"/>
      <c r="H119" s="5"/>
    </row>
    <row r="120" spans="1:8" ht="15.5">
      <c r="A120" s="8"/>
      <c r="B120" s="9"/>
      <c r="C120" s="3"/>
      <c r="D120" s="22"/>
      <c r="E120" s="4"/>
      <c r="F120" s="4"/>
      <c r="G120" s="5"/>
      <c r="H120" s="5"/>
    </row>
    <row r="121" spans="1:8" ht="15.5">
      <c r="A121" s="8"/>
      <c r="B121" s="9"/>
      <c r="C121" s="3"/>
      <c r="D121" s="22"/>
      <c r="E121" s="4"/>
      <c r="F121" s="4"/>
      <c r="G121" s="5"/>
      <c r="H121" s="5"/>
    </row>
    <row r="122" spans="1:8" ht="15.5">
      <c r="A122" s="8"/>
      <c r="B122" s="9"/>
      <c r="C122" s="3"/>
      <c r="D122" s="22"/>
      <c r="E122" s="4"/>
      <c r="F122" s="4"/>
      <c r="G122" s="5"/>
      <c r="H122" s="5"/>
    </row>
    <row r="123" spans="1:8" ht="15.5">
      <c r="A123" s="8"/>
      <c r="B123" s="9"/>
      <c r="C123" s="3"/>
      <c r="D123" s="22"/>
      <c r="E123" s="4"/>
      <c r="F123" s="4"/>
      <c r="G123" s="5"/>
      <c r="H123" s="5"/>
    </row>
    <row r="124" spans="1:8" ht="15.5">
      <c r="A124" s="8"/>
      <c r="B124" s="9"/>
      <c r="C124" s="3"/>
      <c r="D124" s="22"/>
      <c r="E124" s="4"/>
      <c r="F124" s="4"/>
      <c r="G124" s="5"/>
      <c r="H124" s="5"/>
    </row>
    <row r="125" spans="1:8" ht="15.5">
      <c r="A125" s="8"/>
      <c r="B125" s="9"/>
      <c r="C125" s="3"/>
      <c r="D125" s="22"/>
      <c r="E125" s="4"/>
      <c r="F125" s="4"/>
      <c r="G125" s="5"/>
      <c r="H125" s="5"/>
    </row>
    <row r="126" spans="1:8" ht="15.5">
      <c r="A126" s="8"/>
      <c r="B126" s="9"/>
      <c r="C126" s="3"/>
      <c r="D126" s="22"/>
      <c r="E126" s="4"/>
      <c r="F126" s="4"/>
      <c r="G126" s="5"/>
      <c r="H126" s="5"/>
    </row>
    <row r="127" spans="1:8" ht="15.5">
      <c r="A127" s="8"/>
      <c r="B127" s="9"/>
      <c r="C127" s="3"/>
      <c r="D127" s="22"/>
      <c r="E127" s="4"/>
      <c r="F127" s="4"/>
      <c r="G127" s="5"/>
      <c r="H127" s="5"/>
    </row>
    <row r="128" spans="1:8" ht="15.5">
      <c r="A128" s="8"/>
      <c r="B128" s="9"/>
      <c r="C128" s="3"/>
      <c r="D128" s="22"/>
      <c r="E128" s="4"/>
      <c r="F128" s="4"/>
      <c r="G128" s="5"/>
      <c r="H128" s="5"/>
    </row>
    <row r="129" spans="1:8" ht="15.5">
      <c r="A129" s="8"/>
      <c r="B129" s="9"/>
      <c r="C129" s="3"/>
      <c r="D129" s="22"/>
      <c r="E129" s="4"/>
      <c r="F129" s="4"/>
      <c r="G129" s="5"/>
      <c r="H129" s="5"/>
    </row>
    <row r="130" spans="1:8" ht="15.5">
      <c r="A130" s="8"/>
      <c r="B130" s="9"/>
      <c r="C130" s="3"/>
      <c r="D130" s="22"/>
      <c r="E130" s="4"/>
      <c r="F130" s="4"/>
      <c r="G130" s="5"/>
      <c r="H130" s="5"/>
    </row>
    <row r="131" spans="1:8" ht="15.5">
      <c r="A131" s="8"/>
      <c r="B131" s="9"/>
      <c r="C131" s="3"/>
      <c r="D131" s="22"/>
      <c r="E131" s="4"/>
      <c r="F131" s="4"/>
      <c r="G131" s="5"/>
      <c r="H131" s="5"/>
    </row>
    <row r="132" spans="1:8" ht="15.5">
      <c r="A132" s="8"/>
      <c r="B132" s="9"/>
      <c r="C132" s="3"/>
      <c r="D132" s="22"/>
      <c r="E132" s="4"/>
      <c r="F132" s="4"/>
      <c r="G132" s="5"/>
      <c r="H132" s="5"/>
    </row>
    <row r="133" spans="1:8" ht="15.5">
      <c r="A133" s="13"/>
      <c r="B133" s="12"/>
      <c r="C133" s="14"/>
      <c r="D133" s="22"/>
      <c r="E133" s="4"/>
      <c r="F133" s="4"/>
      <c r="G133" s="5"/>
      <c r="H133" s="5"/>
    </row>
    <row r="134" spans="1:8" ht="15.5">
      <c r="A134" s="13"/>
      <c r="B134" s="12"/>
      <c r="C134" s="14"/>
      <c r="D134" s="22"/>
      <c r="E134" s="4"/>
      <c r="F134" s="4"/>
      <c r="G134" s="5"/>
      <c r="H134" s="5"/>
    </row>
    <row r="135" spans="1:8" ht="15.5">
      <c r="A135" s="8"/>
      <c r="B135" s="9"/>
      <c r="C135" s="3"/>
      <c r="D135" s="22"/>
      <c r="E135" s="4"/>
      <c r="F135" s="4"/>
      <c r="G135" s="5"/>
      <c r="H135" s="5"/>
    </row>
    <row r="136" spans="1:8" ht="15.5">
      <c r="A136" s="13"/>
      <c r="C136" s="16"/>
      <c r="D136" s="22"/>
      <c r="E136" s="4"/>
      <c r="F136" s="4"/>
      <c r="G136" s="5"/>
      <c r="H136" s="5"/>
    </row>
    <row r="137" spans="1:8" ht="15.5">
      <c r="A137" s="13"/>
      <c r="B137" s="12"/>
      <c r="C137" s="14"/>
      <c r="D137" s="22"/>
      <c r="E137" s="4"/>
      <c r="F137" s="4"/>
      <c r="G137" s="5"/>
      <c r="H137" s="5"/>
    </row>
    <row r="138" spans="1:8" ht="15.5">
      <c r="A138" s="13"/>
      <c r="B138" s="12"/>
      <c r="C138" s="14"/>
      <c r="D138" s="22"/>
      <c r="E138" s="4"/>
      <c r="F138" s="4"/>
      <c r="G138" s="5"/>
      <c r="H138" s="5"/>
    </row>
    <row r="139" spans="1:8" ht="15.5">
      <c r="A139" s="13"/>
      <c r="B139" s="12"/>
      <c r="C139" s="14"/>
      <c r="D139" s="22"/>
      <c r="E139" s="4"/>
      <c r="F139" s="4"/>
      <c r="G139" s="5"/>
      <c r="H139" s="5"/>
    </row>
    <row r="140" spans="1:8" ht="15.5">
      <c r="A140" s="8"/>
      <c r="B140" s="12"/>
      <c r="C140" s="14"/>
      <c r="D140" s="22"/>
      <c r="E140" s="4"/>
      <c r="F140" s="4"/>
      <c r="G140" s="5"/>
      <c r="H140" s="5"/>
    </row>
    <row r="141" spans="1:8" ht="15.5">
      <c r="A141" s="8"/>
      <c r="B141" s="9"/>
      <c r="C141" s="3"/>
      <c r="D141" s="22"/>
      <c r="E141" s="4"/>
      <c r="F141" s="4"/>
      <c r="G141" s="5"/>
      <c r="H141" s="5"/>
    </row>
    <row r="142" spans="1:8" ht="15.5">
      <c r="A142" s="8"/>
      <c r="B142" s="9"/>
      <c r="C142" s="3"/>
      <c r="D142" s="22"/>
      <c r="E142" s="4"/>
      <c r="F142" s="4"/>
      <c r="G142" s="5"/>
      <c r="H142" s="5"/>
    </row>
    <row r="143" spans="1:8" ht="15.5">
      <c r="A143" s="8"/>
      <c r="B143" s="9"/>
      <c r="C143" s="3"/>
      <c r="D143" s="22"/>
      <c r="E143" s="4"/>
      <c r="F143" s="4"/>
      <c r="G143" s="5"/>
      <c r="H143" s="5"/>
    </row>
    <row r="144" spans="1:8" ht="15.5">
      <c r="A144" s="8"/>
      <c r="B144" s="9"/>
      <c r="C144" s="3"/>
      <c r="D144" s="22"/>
      <c r="E144" s="4"/>
      <c r="F144" s="4"/>
      <c r="G144" s="5"/>
      <c r="H144" s="5"/>
    </row>
    <row r="145" spans="1:8" ht="15.5">
      <c r="A145" s="8"/>
      <c r="B145" s="9"/>
      <c r="C145" s="3"/>
      <c r="D145" s="22"/>
      <c r="E145" s="4"/>
      <c r="F145" s="4"/>
      <c r="G145" s="5"/>
      <c r="H145" s="5"/>
    </row>
    <row r="146" spans="1:8" ht="15.5">
      <c r="A146" s="8"/>
      <c r="B146" s="9"/>
      <c r="C146" s="3"/>
      <c r="D146" s="22"/>
      <c r="E146" s="4"/>
      <c r="F146" s="4"/>
      <c r="G146" s="5"/>
      <c r="H146" s="5"/>
    </row>
    <row r="147" spans="1:8" ht="15.5">
      <c r="A147" s="8"/>
      <c r="C147" s="18"/>
      <c r="D147" s="22"/>
      <c r="E147" s="4"/>
      <c r="F147" s="4"/>
      <c r="G147" s="5"/>
      <c r="H147" s="5"/>
    </row>
    <row r="148" spans="1:8" ht="15.5">
      <c r="A148" s="8"/>
      <c r="B148" s="9"/>
      <c r="C148" s="3"/>
      <c r="D148" s="22"/>
      <c r="E148" s="4"/>
      <c r="F148" s="4"/>
      <c r="G148" s="5"/>
      <c r="H148" s="5"/>
    </row>
    <row r="149" spans="1:8" ht="15.5">
      <c r="A149" s="8"/>
      <c r="B149" s="9"/>
      <c r="C149" s="3"/>
      <c r="D149" s="22"/>
      <c r="E149" s="4"/>
      <c r="F149" s="4"/>
      <c r="G149" s="5"/>
      <c r="H149" s="5"/>
    </row>
    <row r="150" spans="1:8" ht="15.5">
      <c r="A150" s="8"/>
      <c r="B150" s="9"/>
      <c r="C150" s="3"/>
      <c r="D150" s="22"/>
      <c r="E150" s="4"/>
      <c r="F150" s="4"/>
      <c r="G150" s="5"/>
      <c r="H150" s="5"/>
    </row>
    <row r="151" spans="1:8" ht="15.5">
      <c r="A151" s="8"/>
      <c r="B151" s="9"/>
      <c r="C151" s="3"/>
      <c r="D151" s="22"/>
      <c r="E151" s="4"/>
      <c r="F151" s="4"/>
      <c r="G151" s="5"/>
      <c r="H151" s="5"/>
    </row>
    <row r="152" spans="1:8" ht="15.5">
      <c r="A152" s="8"/>
      <c r="B152" s="9"/>
      <c r="C152" s="3"/>
      <c r="D152" s="22"/>
      <c r="E152" s="4"/>
      <c r="F152" s="4"/>
      <c r="G152" s="5"/>
      <c r="H152" s="5"/>
    </row>
    <row r="153" spans="1:8" ht="15.5">
      <c r="A153" s="8"/>
      <c r="B153" s="9"/>
      <c r="C153" s="3"/>
      <c r="D153" s="22"/>
      <c r="E153" s="4"/>
      <c r="F153" s="4"/>
      <c r="G153" s="5"/>
      <c r="H153" s="5"/>
    </row>
    <row r="154" spans="1:8" ht="15.5">
      <c r="A154" s="8"/>
      <c r="B154" s="9"/>
      <c r="C154" s="3"/>
      <c r="D154" s="22"/>
      <c r="E154" s="4"/>
      <c r="F154" s="4"/>
      <c r="G154" s="5"/>
      <c r="H154" s="5"/>
    </row>
    <row r="155" spans="1:8" ht="15.5">
      <c r="A155" s="8"/>
      <c r="B155" s="9"/>
      <c r="C155" s="3"/>
      <c r="D155" s="22"/>
      <c r="E155" s="4"/>
      <c r="F155" s="4"/>
      <c r="G155" s="5"/>
      <c r="H155" s="5"/>
    </row>
    <row r="156" spans="1:8" ht="15.5">
      <c r="A156" s="8"/>
      <c r="B156" s="9"/>
      <c r="C156" s="3"/>
      <c r="D156" s="22"/>
      <c r="E156" s="4"/>
      <c r="F156" s="4"/>
      <c r="G156" s="5"/>
      <c r="H156" s="5"/>
    </row>
    <row r="157" spans="1:8" ht="15.5">
      <c r="A157" s="8"/>
      <c r="B157" s="9"/>
      <c r="C157" s="3"/>
      <c r="D157" s="22"/>
      <c r="E157" s="4"/>
      <c r="F157" s="4"/>
      <c r="G157" s="5"/>
      <c r="H157" s="5"/>
    </row>
    <row r="158" spans="1:8" ht="15.5">
      <c r="A158" s="8"/>
      <c r="B158" s="9"/>
      <c r="C158" s="3"/>
      <c r="D158" s="22"/>
      <c r="E158" s="4"/>
      <c r="F158" s="4"/>
      <c r="G158" s="5"/>
      <c r="H158" s="5"/>
    </row>
    <row r="159" spans="1:8" ht="15.5">
      <c r="A159" s="8"/>
      <c r="B159" s="9"/>
      <c r="C159" s="3"/>
      <c r="D159" s="22"/>
      <c r="E159" s="4"/>
      <c r="F159" s="4"/>
      <c r="G159" s="5"/>
      <c r="H159" s="5"/>
    </row>
    <row r="160" spans="1:8" ht="15.5">
      <c r="A160" s="8"/>
      <c r="B160" s="9"/>
      <c r="C160" s="3"/>
      <c r="D160" s="22"/>
      <c r="E160" s="4"/>
      <c r="F160" s="4"/>
      <c r="G160" s="5"/>
      <c r="H160" s="5"/>
    </row>
    <row r="161" spans="1:8" ht="15.5">
      <c r="A161" s="8"/>
      <c r="B161" s="9"/>
      <c r="C161" s="3"/>
      <c r="D161" s="22"/>
      <c r="E161" s="17"/>
      <c r="F161" s="4"/>
      <c r="G161" s="5"/>
      <c r="H161" s="5"/>
    </row>
    <row r="162" spans="1:8" ht="15.5">
      <c r="A162" s="13"/>
      <c r="B162" s="12"/>
      <c r="C162" s="3"/>
      <c r="D162" s="22"/>
    </row>
    <row r="163" spans="1:8" ht="15.5">
      <c r="A163" s="8"/>
      <c r="B163" s="9"/>
      <c r="C163" s="3"/>
      <c r="D163" s="22"/>
      <c r="G163" s="2">
        <v>250</v>
      </c>
      <c r="H163" s="11">
        <f>+F163*G163</f>
        <v>0</v>
      </c>
    </row>
    <row r="164" spans="1:8" ht="15.5">
      <c r="A164" s="8"/>
      <c r="B164" s="9"/>
      <c r="C164" s="3"/>
      <c r="D164" s="22"/>
      <c r="G164" s="2">
        <v>250</v>
      </c>
      <c r="H164" s="11">
        <f>+F164*G164</f>
        <v>0</v>
      </c>
    </row>
    <row r="165" spans="1:8" ht="15.5">
      <c r="A165" s="8"/>
      <c r="B165" s="9"/>
      <c r="C165" s="3"/>
      <c r="D165" s="22"/>
    </row>
    <row r="166" spans="1:8" ht="15.5">
      <c r="A166" s="8"/>
      <c r="B166" s="9"/>
      <c r="C166" s="3"/>
      <c r="D166" s="22"/>
    </row>
    <row r="167" spans="1:8" ht="15.5">
      <c r="A167" s="8"/>
      <c r="B167" s="9"/>
      <c r="C167" s="3"/>
      <c r="D167" s="22"/>
    </row>
    <row r="168" spans="1:8" ht="15.5">
      <c r="A168" s="23"/>
      <c r="B168" s="5"/>
      <c r="C168" s="18"/>
      <c r="D168" s="22"/>
    </row>
    <row r="169" spans="1:8" ht="15.5">
      <c r="A169" s="8"/>
      <c r="B169" s="9"/>
      <c r="C169" s="3"/>
      <c r="D169" s="22"/>
      <c r="H169">
        <v>15000</v>
      </c>
    </row>
    <row r="170" spans="1:8" ht="15.5">
      <c r="A170" s="8"/>
      <c r="B170" s="9"/>
      <c r="C170" s="3"/>
      <c r="D170" s="22"/>
    </row>
    <row r="171" spans="1:8" ht="15.5">
      <c r="A171" s="23"/>
      <c r="B171" s="5"/>
      <c r="C171" s="18"/>
      <c r="D171" s="22"/>
    </row>
    <row r="172" spans="1:8" ht="15.5">
      <c r="A172" s="13"/>
      <c r="B172" s="12"/>
      <c r="C172" s="3"/>
      <c r="D172" s="22"/>
    </row>
    <row r="173" spans="1:8" ht="15.5">
      <c r="A173" s="8"/>
      <c r="B173" s="9"/>
      <c r="C173" s="3"/>
      <c r="D173" s="22"/>
    </row>
    <row r="174" spans="1:8" ht="15.5">
      <c r="A174" s="8"/>
      <c r="B174" s="9"/>
      <c r="C174" s="3"/>
      <c r="D174" s="22"/>
    </row>
    <row r="175" spans="1:8" ht="15.5">
      <c r="A175" s="8"/>
      <c r="B175" s="9"/>
      <c r="C175" s="3"/>
      <c r="D175" s="22"/>
    </row>
    <row r="176" spans="1:8" ht="15.5">
      <c r="A176" s="8"/>
      <c r="B176" s="9"/>
      <c r="C176" s="3"/>
      <c r="D176" s="22"/>
    </row>
    <row r="177" spans="1:8" ht="15.5">
      <c r="A177" s="8"/>
      <c r="B177" s="9"/>
      <c r="C177" s="3"/>
      <c r="D177" s="22"/>
    </row>
    <row r="178" spans="1:8" ht="15.5">
      <c r="A178" s="8"/>
      <c r="B178" s="9"/>
      <c r="C178" s="3"/>
      <c r="D178" s="22"/>
      <c r="F178">
        <v>325000</v>
      </c>
      <c r="G178" s="24">
        <v>3.4200000000000001E-2</v>
      </c>
      <c r="H178" s="11">
        <f>+F178*G178</f>
        <v>11115</v>
      </c>
    </row>
    <row r="179" spans="1:8" ht="15.5">
      <c r="A179" s="8"/>
      <c r="B179" s="9"/>
      <c r="C179" s="3"/>
      <c r="D179" s="22"/>
      <c r="F179">
        <v>1325000</v>
      </c>
      <c r="G179" s="25">
        <v>3.4200000000000001E-2</v>
      </c>
      <c r="H179" s="11">
        <f>+F179*G179</f>
        <v>45315</v>
      </c>
    </row>
    <row r="180" spans="1:8" ht="15.5">
      <c r="A180" s="8"/>
      <c r="B180" s="9"/>
      <c r="C180" s="3"/>
      <c r="D180" s="22"/>
    </row>
    <row r="181" spans="1:8" ht="15.5">
      <c r="A181" s="8"/>
      <c r="B181" s="9"/>
      <c r="C181" s="3"/>
      <c r="D181" s="22"/>
    </row>
    <row r="182" spans="1:8" ht="15.5">
      <c r="A182" s="8"/>
      <c r="B182" s="9"/>
      <c r="C182" s="3"/>
      <c r="D182" s="10"/>
      <c r="F182">
        <f>250*5300</f>
        <v>1325000</v>
      </c>
      <c r="H182">
        <f>SUM(H169:H181)</f>
        <v>71430</v>
      </c>
    </row>
    <row r="183" spans="1:8" ht="15.5">
      <c r="A183" s="8"/>
      <c r="B183" s="9"/>
      <c r="C183" s="3"/>
    </row>
    <row r="184" spans="1:8" ht="15.5">
      <c r="A184" s="8"/>
      <c r="B184" s="9"/>
      <c r="C184" s="3"/>
    </row>
    <row r="185" spans="1:8" ht="15.5">
      <c r="A185" s="8"/>
      <c r="B185" s="9"/>
      <c r="C185" s="3"/>
    </row>
    <row r="186" spans="1:8" ht="15.5">
      <c r="A186" s="8"/>
      <c r="B186" s="9"/>
      <c r="C186" s="3"/>
    </row>
    <row r="187" spans="1:8" ht="15.5">
      <c r="A187" s="8"/>
      <c r="B187" s="9"/>
      <c r="C187" s="3"/>
    </row>
    <row r="188" spans="1:8" ht="15.5">
      <c r="A188" s="8"/>
      <c r="B188" s="9"/>
      <c r="C188" s="3"/>
    </row>
    <row r="189" spans="1:8" ht="15.5">
      <c r="A189" s="8"/>
      <c r="B189" s="9"/>
      <c r="C189" s="3"/>
    </row>
    <row r="190" spans="1:8" ht="15.5">
      <c r="A190" s="8"/>
      <c r="B190" s="9"/>
      <c r="C190" s="3"/>
    </row>
    <row r="191" spans="1:8" ht="15.5">
      <c r="A191" s="8"/>
      <c r="B191" s="9"/>
      <c r="C191" s="3"/>
    </row>
    <row r="192" spans="1:8" ht="15.5">
      <c r="A192" s="8"/>
      <c r="B192" s="9"/>
      <c r="C192" s="3"/>
    </row>
    <row r="193" spans="1:3" ht="15.5">
      <c r="A193" s="8"/>
      <c r="B193" s="9"/>
      <c r="C193" s="3"/>
    </row>
    <row r="194" spans="1:3" ht="15.5">
      <c r="A194" s="8"/>
      <c r="B194" s="9"/>
      <c r="C194" s="3"/>
    </row>
    <row r="195" spans="1:3" ht="15.5">
      <c r="A195" s="8"/>
      <c r="B195" s="12"/>
      <c r="C195" s="14"/>
    </row>
    <row r="196" spans="1:3">
      <c r="A196" s="13"/>
      <c r="C196" s="16"/>
    </row>
    <row r="197" spans="1:3">
      <c r="A197" s="13"/>
      <c r="B197" s="12"/>
      <c r="C197" s="14"/>
    </row>
    <row r="198" spans="1:3">
      <c r="A198" s="13"/>
      <c r="B198" s="12"/>
      <c r="C198" s="14"/>
    </row>
    <row r="199" spans="1:3">
      <c r="A199" s="13"/>
      <c r="B199" s="12"/>
      <c r="C199" s="14"/>
    </row>
    <row r="200" spans="1:3">
      <c r="A200" s="13"/>
      <c r="B200" s="12"/>
      <c r="C200" s="14"/>
    </row>
    <row r="201" spans="1:3">
      <c r="A201" s="13"/>
      <c r="B201" s="12"/>
      <c r="C201" s="14"/>
    </row>
    <row r="202" spans="1:3" ht="15.5">
      <c r="A202" s="8"/>
      <c r="B202" s="9"/>
      <c r="C202" s="3"/>
    </row>
    <row r="203" spans="1:3" ht="15.5">
      <c r="A203" s="8"/>
      <c r="B203" s="9"/>
      <c r="C203" s="3"/>
    </row>
    <row r="204" spans="1:3" ht="15.5">
      <c r="A204" s="8"/>
      <c r="B204" s="9"/>
      <c r="C204" s="3"/>
    </row>
    <row r="205" spans="1:3" ht="15.5">
      <c r="A205" s="8"/>
      <c r="B205" s="9"/>
      <c r="C205" s="3"/>
    </row>
  </sheetData>
  <mergeCells count="2">
    <mergeCell ref="A1:C1"/>
    <mergeCell ref="G2:H2"/>
  </mergeCells>
  <pageMargins left="0.7" right="0.7" top="0.75" bottom="0.75" header="0.511811023622047" footer="0.511811023622047"/>
  <pageSetup orientation="portrait" horizontalDpi="300" verticalDpi="30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5"/>
  <sheetViews>
    <sheetView topLeftCell="A31" zoomScaleNormal="100" workbookViewId="0">
      <selection activeCell="A42" sqref="A42"/>
    </sheetView>
  </sheetViews>
  <sheetFormatPr baseColWidth="10" defaultColWidth="8.7265625" defaultRowHeight="14.5"/>
  <cols>
    <col min="1" max="1" width="7.54296875" customWidth="1"/>
    <col min="2" max="2" width="12.54296875" style="2" customWidth="1"/>
    <col min="3" max="3" width="25.1796875" customWidth="1"/>
    <col min="4" max="4" width="11.81640625" customWidth="1"/>
    <col min="5" max="5" width="11.453125" customWidth="1"/>
    <col min="6" max="6" width="30.453125" customWidth="1"/>
    <col min="7" max="7" width="25.81640625" style="2" customWidth="1"/>
    <col min="8" max="8" width="15.1796875" customWidth="1"/>
    <col min="9" max="9" width="11.1796875" style="2" customWidth="1"/>
    <col min="10" max="10" width="14.81640625" customWidth="1"/>
  </cols>
  <sheetData>
    <row r="1" spans="1:8" ht="15.5">
      <c r="A1" s="209" t="s">
        <v>0</v>
      </c>
      <c r="B1" s="209"/>
      <c r="C1" s="209"/>
      <c r="D1" s="3"/>
      <c r="E1" s="4"/>
      <c r="F1" s="4"/>
      <c r="G1" s="5"/>
      <c r="H1" s="5"/>
    </row>
    <row r="2" spans="1:8" ht="15.5">
      <c r="A2" s="6" t="s">
        <v>1</v>
      </c>
      <c r="B2" s="7" t="s">
        <v>2</v>
      </c>
      <c r="C2" s="6" t="s">
        <v>3</v>
      </c>
      <c r="D2" s="3"/>
      <c r="E2" s="4"/>
      <c r="F2" s="4"/>
      <c r="G2" s="210" t="s">
        <v>4</v>
      </c>
      <c r="H2" s="210"/>
    </row>
    <row r="3" spans="1:8" ht="15.5">
      <c r="A3" s="8">
        <v>45231</v>
      </c>
      <c r="B3" s="9">
        <v>27795</v>
      </c>
      <c r="C3" s="3" t="s">
        <v>239</v>
      </c>
      <c r="D3" s="3"/>
      <c r="E3" s="4"/>
      <c r="F3" s="4"/>
      <c r="G3" s="9" t="s">
        <v>6</v>
      </c>
      <c r="H3" s="9">
        <v>20000</v>
      </c>
    </row>
    <row r="4" spans="1:8" ht="15.5">
      <c r="A4" s="8">
        <v>45231</v>
      </c>
      <c r="B4" s="2">
        <v>350</v>
      </c>
      <c r="C4" t="s">
        <v>240</v>
      </c>
      <c r="E4" s="4"/>
      <c r="F4" s="4"/>
      <c r="G4" s="9" t="s">
        <v>7</v>
      </c>
      <c r="H4" s="9">
        <v>30000</v>
      </c>
    </row>
    <row r="5" spans="1:8" ht="15.5">
      <c r="A5" s="8">
        <v>45231</v>
      </c>
      <c r="B5" s="9">
        <v>1147</v>
      </c>
      <c r="C5" s="3" t="s">
        <v>241</v>
      </c>
      <c r="D5" s="3"/>
      <c r="E5" s="4"/>
      <c r="F5" s="4"/>
      <c r="G5" s="9" t="s">
        <v>9</v>
      </c>
      <c r="H5" s="9">
        <v>40000</v>
      </c>
    </row>
    <row r="6" spans="1:8" ht="15.5">
      <c r="A6" s="8">
        <v>45231</v>
      </c>
      <c r="B6" s="9">
        <v>2000</v>
      </c>
      <c r="C6" s="3" t="s">
        <v>242</v>
      </c>
      <c r="D6" s="3"/>
      <c r="E6" s="4"/>
      <c r="F6" s="4"/>
      <c r="G6" s="9" t="s">
        <v>11</v>
      </c>
      <c r="H6" s="9">
        <v>5000</v>
      </c>
    </row>
    <row r="7" spans="1:8" ht="15.5">
      <c r="A7" s="8">
        <v>45231</v>
      </c>
      <c r="B7" s="9">
        <v>44000</v>
      </c>
      <c r="C7" s="3" t="s">
        <v>243</v>
      </c>
      <c r="D7" s="3"/>
      <c r="E7" s="4"/>
      <c r="F7" s="4"/>
      <c r="G7" s="9"/>
      <c r="H7" s="9"/>
    </row>
    <row r="8" spans="1:8" ht="15.5">
      <c r="A8" s="8">
        <v>45231</v>
      </c>
      <c r="B8" s="9">
        <v>20000</v>
      </c>
      <c r="C8" s="3" t="s">
        <v>244</v>
      </c>
      <c r="D8" s="10">
        <f>+B8+B7</f>
        <v>64000</v>
      </c>
      <c r="E8" s="4"/>
      <c r="F8" s="4"/>
      <c r="G8" s="9" t="s">
        <v>13</v>
      </c>
      <c r="H8" s="9">
        <v>3000</v>
      </c>
    </row>
    <row r="9" spans="1:8" ht="15.5">
      <c r="A9" s="8">
        <v>45232</v>
      </c>
      <c r="B9" s="12">
        <v>-1500</v>
      </c>
      <c r="C9" s="14" t="s">
        <v>30</v>
      </c>
      <c r="D9" s="10">
        <f t="shared" ref="D9:D40" si="0">+D8+B9</f>
        <v>62500</v>
      </c>
      <c r="E9" s="4">
        <v>105000</v>
      </c>
      <c r="F9" s="4" t="s">
        <v>104</v>
      </c>
      <c r="G9" s="9" t="s">
        <v>15</v>
      </c>
      <c r="H9" s="9">
        <v>5000</v>
      </c>
    </row>
    <row r="10" spans="1:8" ht="15.5">
      <c r="A10" s="8">
        <v>45232</v>
      </c>
      <c r="B10" s="12">
        <v>-1410</v>
      </c>
      <c r="C10" s="14" t="s">
        <v>19</v>
      </c>
      <c r="D10" s="10">
        <f t="shared" si="0"/>
        <v>61090</v>
      </c>
      <c r="E10" s="4">
        <v>12000</v>
      </c>
      <c r="F10" s="4" t="s">
        <v>106</v>
      </c>
      <c r="G10" s="9" t="s">
        <v>18</v>
      </c>
      <c r="H10" s="9">
        <v>1500</v>
      </c>
    </row>
    <row r="11" spans="1:8" ht="15.5">
      <c r="A11" s="8">
        <v>45233</v>
      </c>
      <c r="B11" s="9">
        <v>-500</v>
      </c>
      <c r="C11" s="3" t="s">
        <v>31</v>
      </c>
      <c r="D11" s="10">
        <f t="shared" si="0"/>
        <v>60590</v>
      </c>
      <c r="E11" s="4">
        <v>8000</v>
      </c>
      <c r="F11" s="4" t="s">
        <v>106</v>
      </c>
      <c r="G11" s="9" t="s">
        <v>19</v>
      </c>
      <c r="H11" s="9">
        <v>10000</v>
      </c>
    </row>
    <row r="12" spans="1:8" ht="15.5">
      <c r="A12" s="8">
        <v>45234</v>
      </c>
      <c r="B12" s="2">
        <v>-2300</v>
      </c>
      <c r="C12" s="16" t="s">
        <v>6</v>
      </c>
      <c r="D12" s="10">
        <f t="shared" si="0"/>
        <v>58290</v>
      </c>
      <c r="E12" s="4">
        <v>15000</v>
      </c>
      <c r="F12" s="4" t="s">
        <v>34</v>
      </c>
      <c r="G12" s="9" t="s">
        <v>21</v>
      </c>
      <c r="H12" s="9">
        <v>1500</v>
      </c>
    </row>
    <row r="13" spans="1:8" ht="15.5">
      <c r="A13" s="8">
        <v>45234</v>
      </c>
      <c r="B13" s="12">
        <v>-1300</v>
      </c>
      <c r="C13" s="14" t="s">
        <v>32</v>
      </c>
      <c r="D13" s="10">
        <f t="shared" si="0"/>
        <v>56990</v>
      </c>
      <c r="E13" s="4"/>
      <c r="F13" s="4"/>
      <c r="G13" s="9" t="s">
        <v>23</v>
      </c>
      <c r="H13" s="9">
        <v>25000</v>
      </c>
    </row>
    <row r="14" spans="1:8" ht="15.5">
      <c r="A14" s="8">
        <v>45234</v>
      </c>
      <c r="B14" s="12">
        <v>-1200</v>
      </c>
      <c r="C14" s="14" t="s">
        <v>33</v>
      </c>
      <c r="D14" s="10">
        <f t="shared" si="0"/>
        <v>55790</v>
      </c>
      <c r="E14" s="4"/>
      <c r="F14" s="4"/>
      <c r="G14" s="9" t="s">
        <v>25</v>
      </c>
      <c r="H14" s="9">
        <v>1500</v>
      </c>
    </row>
    <row r="15" spans="1:8" ht="15.5">
      <c r="A15" s="8">
        <v>45235</v>
      </c>
      <c r="B15" s="9">
        <f>-300*56</f>
        <v>-16800</v>
      </c>
      <c r="C15" s="3" t="s">
        <v>34</v>
      </c>
      <c r="D15" s="10">
        <f t="shared" si="0"/>
        <v>38990</v>
      </c>
      <c r="E15" s="4"/>
      <c r="F15" s="4"/>
      <c r="G15" s="9"/>
      <c r="H15" s="9"/>
    </row>
    <row r="16" spans="1:8" ht="15.5">
      <c r="A16" s="8">
        <v>45238</v>
      </c>
      <c r="B16" s="9">
        <v>-600</v>
      </c>
      <c r="C16" s="3" t="s">
        <v>35</v>
      </c>
      <c r="D16" s="10">
        <f t="shared" si="0"/>
        <v>38390</v>
      </c>
      <c r="E16" s="4">
        <f>SUM(E9:E15)</f>
        <v>140000</v>
      </c>
      <c r="F16" s="4"/>
      <c r="G16" s="9"/>
      <c r="H16" s="9"/>
    </row>
    <row r="17" spans="1:8" ht="15.5">
      <c r="A17" s="8">
        <v>45238</v>
      </c>
      <c r="B17" s="9"/>
      <c r="C17" s="3" t="s">
        <v>36</v>
      </c>
      <c r="D17" s="10">
        <f t="shared" si="0"/>
        <v>38390</v>
      </c>
      <c r="E17" s="4"/>
      <c r="F17" s="4"/>
      <c r="G17" s="15" t="s">
        <v>27</v>
      </c>
      <c r="H17" s="15">
        <f>SUM(H3:H15)</f>
        <v>142500</v>
      </c>
    </row>
    <row r="18" spans="1:8" ht="15.5">
      <c r="A18" s="8">
        <v>45238</v>
      </c>
      <c r="B18" s="9"/>
      <c r="C18" s="3" t="s">
        <v>37</v>
      </c>
      <c r="D18" s="10">
        <f t="shared" si="0"/>
        <v>38390</v>
      </c>
      <c r="E18" s="4"/>
      <c r="F18" s="4"/>
      <c r="G18" s="5" t="s">
        <v>29</v>
      </c>
      <c r="H18" s="5">
        <f>+H17/54</f>
        <v>2638.8888888888887</v>
      </c>
    </row>
    <row r="19" spans="1:8" ht="15.5">
      <c r="A19" s="8">
        <v>45234</v>
      </c>
      <c r="B19" s="9">
        <v>-1424</v>
      </c>
      <c r="C19" s="3" t="s">
        <v>38</v>
      </c>
      <c r="D19" s="10">
        <f t="shared" si="0"/>
        <v>36966</v>
      </c>
      <c r="E19" s="4"/>
      <c r="F19" s="4"/>
      <c r="G19" s="5"/>
      <c r="H19" s="5"/>
    </row>
    <row r="20" spans="1:8" ht="15.5">
      <c r="A20" s="8">
        <v>45238</v>
      </c>
      <c r="B20" s="9">
        <v>-25000</v>
      </c>
      <c r="C20" s="3" t="s">
        <v>332</v>
      </c>
      <c r="D20" s="10">
        <f t="shared" si="0"/>
        <v>11966</v>
      </c>
      <c r="E20" s="4"/>
      <c r="F20" s="4"/>
      <c r="G20" s="5"/>
      <c r="H20" s="5"/>
    </row>
    <row r="21" spans="1:8" ht="15.5">
      <c r="A21" s="8">
        <v>45240</v>
      </c>
      <c r="B21" s="2">
        <v>-1000</v>
      </c>
      <c r="C21" s="18" t="s">
        <v>31</v>
      </c>
      <c r="D21" s="10">
        <f t="shared" si="0"/>
        <v>10966</v>
      </c>
      <c r="E21" s="4"/>
      <c r="F21" s="4"/>
      <c r="G21" s="5" t="s">
        <v>77</v>
      </c>
      <c r="H21" s="5"/>
    </row>
    <row r="22" spans="1:8" ht="15.5">
      <c r="A22" s="8">
        <v>45239</v>
      </c>
      <c r="B22" s="9">
        <v>-500</v>
      </c>
      <c r="C22" s="3" t="s">
        <v>37</v>
      </c>
      <c r="D22" s="10">
        <f t="shared" si="0"/>
        <v>10466</v>
      </c>
      <c r="E22" s="4"/>
      <c r="F22" s="4"/>
      <c r="G22" s="5" t="s">
        <v>78</v>
      </c>
      <c r="H22" s="5">
        <f>1100*55</f>
        <v>60500</v>
      </c>
    </row>
    <row r="23" spans="1:8" ht="15.5">
      <c r="A23" s="8">
        <v>45237</v>
      </c>
      <c r="B23" s="9">
        <v>-2400</v>
      </c>
      <c r="C23" s="3" t="s">
        <v>6</v>
      </c>
      <c r="D23" s="10">
        <f t="shared" si="0"/>
        <v>8066</v>
      </c>
      <c r="E23" s="4"/>
      <c r="F23" s="4"/>
      <c r="G23" s="5" t="s">
        <v>79</v>
      </c>
      <c r="H23" s="5">
        <v>27000</v>
      </c>
    </row>
    <row r="24" spans="1:8" ht="15.5">
      <c r="A24" s="8">
        <v>45237</v>
      </c>
      <c r="B24" s="9">
        <v>-1097</v>
      </c>
      <c r="C24" s="3" t="s">
        <v>33</v>
      </c>
      <c r="D24" s="10">
        <f t="shared" si="0"/>
        <v>6969</v>
      </c>
      <c r="E24" s="4"/>
      <c r="F24" s="4"/>
      <c r="G24" s="5"/>
      <c r="H24" s="5"/>
    </row>
    <row r="25" spans="1:8" ht="15.5">
      <c r="A25" s="8">
        <v>45237</v>
      </c>
      <c r="B25" s="9">
        <v>-1150</v>
      </c>
      <c r="C25" s="3" t="s">
        <v>40</v>
      </c>
      <c r="D25" s="10">
        <f t="shared" si="0"/>
        <v>5819</v>
      </c>
      <c r="E25" s="4"/>
      <c r="F25" s="4"/>
      <c r="G25" s="5" t="s">
        <v>27</v>
      </c>
      <c r="H25" s="17">
        <f>SUM(H22:H24)</f>
        <v>87500</v>
      </c>
    </row>
    <row r="26" spans="1:8" ht="15.5">
      <c r="A26" s="8">
        <v>45237</v>
      </c>
      <c r="B26" s="9">
        <v>-731</v>
      </c>
      <c r="C26" s="3" t="s">
        <v>42</v>
      </c>
      <c r="D26" s="10">
        <f t="shared" si="0"/>
        <v>5088</v>
      </c>
      <c r="E26" s="4"/>
      <c r="F26" s="4"/>
      <c r="G26" s="5"/>
      <c r="H26" s="4"/>
    </row>
    <row r="27" spans="1:8" ht="15.5">
      <c r="A27" s="8">
        <v>45239</v>
      </c>
      <c r="B27" s="9">
        <v>-3050</v>
      </c>
      <c r="C27" s="3" t="s">
        <v>37</v>
      </c>
      <c r="D27" s="10">
        <f t="shared" si="0"/>
        <v>2038</v>
      </c>
      <c r="E27" s="4"/>
      <c r="F27" s="4"/>
      <c r="G27" s="5"/>
      <c r="H27" s="4"/>
    </row>
    <row r="28" spans="1:8" ht="15.5">
      <c r="A28" s="8">
        <v>45239</v>
      </c>
      <c r="B28" s="9">
        <v>-1173</v>
      </c>
      <c r="C28" s="3" t="s">
        <v>37</v>
      </c>
      <c r="D28" s="10">
        <f t="shared" si="0"/>
        <v>865</v>
      </c>
      <c r="E28" s="4"/>
      <c r="F28" s="4" t="s">
        <v>80</v>
      </c>
      <c r="G28" s="5"/>
      <c r="H28" s="4"/>
    </row>
    <row r="29" spans="1:8" ht="15.5">
      <c r="A29" s="20">
        <v>45258</v>
      </c>
      <c r="B29" s="2">
        <v>-670</v>
      </c>
      <c r="C29" s="18" t="s">
        <v>19</v>
      </c>
      <c r="D29" s="10">
        <f t="shared" si="0"/>
        <v>195</v>
      </c>
      <c r="E29" s="4"/>
      <c r="F29" s="4" t="s">
        <v>81</v>
      </c>
      <c r="G29" s="5">
        <f>4700*56</f>
        <v>263200</v>
      </c>
      <c r="H29" s="5"/>
    </row>
    <row r="30" spans="1:8" ht="15.5">
      <c r="A30" s="20">
        <v>45258</v>
      </c>
      <c r="B30" s="2">
        <v>-1412</v>
      </c>
      <c r="C30" s="18" t="s">
        <v>38</v>
      </c>
      <c r="D30" s="10">
        <f t="shared" si="0"/>
        <v>-1217</v>
      </c>
      <c r="E30" s="4"/>
      <c r="F30" s="4" t="s">
        <v>82</v>
      </c>
      <c r="G30" s="5">
        <v>10000</v>
      </c>
      <c r="H30" s="5"/>
    </row>
    <row r="31" spans="1:8" ht="15.5">
      <c r="A31" s="8">
        <v>45257</v>
      </c>
      <c r="B31" s="9">
        <v>-3000</v>
      </c>
      <c r="C31" s="3" t="s">
        <v>6</v>
      </c>
      <c r="D31" s="10">
        <f t="shared" si="0"/>
        <v>-4217</v>
      </c>
      <c r="E31" s="4"/>
      <c r="F31" s="4" t="s">
        <v>83</v>
      </c>
      <c r="G31" s="5">
        <v>25000</v>
      </c>
      <c r="H31" s="5"/>
    </row>
    <row r="32" spans="1:8" ht="15.5">
      <c r="A32" s="8">
        <v>45257</v>
      </c>
      <c r="B32" s="9">
        <v>-265</v>
      </c>
      <c r="C32" s="3" t="s">
        <v>37</v>
      </c>
      <c r="D32" s="10">
        <f t="shared" si="0"/>
        <v>-4482</v>
      </c>
      <c r="E32" s="4"/>
      <c r="F32" s="17" t="s">
        <v>84</v>
      </c>
      <c r="G32" s="5">
        <v>35000</v>
      </c>
      <c r="H32" s="5"/>
    </row>
    <row r="33" spans="1:8" ht="15.5">
      <c r="A33" s="8">
        <v>45257</v>
      </c>
      <c r="B33" s="9">
        <v>-835.44</v>
      </c>
      <c r="C33" s="3"/>
      <c r="D33" s="10">
        <f t="shared" si="0"/>
        <v>-5317.4400000000005</v>
      </c>
      <c r="E33" s="4"/>
      <c r="F33" s="4" t="s">
        <v>85</v>
      </c>
      <c r="G33" s="5">
        <v>9000</v>
      </c>
      <c r="H33" s="5"/>
    </row>
    <row r="34" spans="1:8" ht="15.5">
      <c r="A34" s="8">
        <v>45257</v>
      </c>
      <c r="B34" s="9">
        <v>-8849</v>
      </c>
      <c r="C34" s="3" t="s">
        <v>37</v>
      </c>
      <c r="D34" s="10">
        <f t="shared" si="0"/>
        <v>-14166.44</v>
      </c>
      <c r="E34" s="4"/>
      <c r="F34" s="4" t="s">
        <v>86</v>
      </c>
      <c r="G34" s="5">
        <v>9000</v>
      </c>
      <c r="H34" s="5"/>
    </row>
    <row r="35" spans="1:8" ht="15.5">
      <c r="A35" s="8">
        <v>45257</v>
      </c>
      <c r="B35" s="9">
        <v>-13125</v>
      </c>
      <c r="C35" s="3" t="s">
        <v>51</v>
      </c>
      <c r="D35" s="10">
        <f t="shared" si="0"/>
        <v>-27291.440000000002</v>
      </c>
      <c r="E35" s="4"/>
      <c r="F35" s="4"/>
      <c r="G35" s="5"/>
      <c r="H35" s="5"/>
    </row>
    <row r="36" spans="1:8" ht="15.5">
      <c r="A36" s="8">
        <v>45254</v>
      </c>
      <c r="B36" s="9">
        <v>-730</v>
      </c>
      <c r="C36" s="3" t="s">
        <v>53</v>
      </c>
      <c r="D36" s="10">
        <f t="shared" si="0"/>
        <v>-28021.440000000002</v>
      </c>
      <c r="E36" s="4"/>
      <c r="F36" s="4"/>
      <c r="G36" s="5"/>
      <c r="H36" s="5"/>
    </row>
    <row r="37" spans="1:8" ht="15.5">
      <c r="A37" s="8">
        <v>45244</v>
      </c>
      <c r="B37" s="9">
        <v>-350</v>
      </c>
      <c r="C37" s="3" t="s">
        <v>53</v>
      </c>
      <c r="D37" s="10">
        <f t="shared" si="0"/>
        <v>-28371.440000000002</v>
      </c>
      <c r="E37" s="4"/>
      <c r="F37" s="4"/>
      <c r="G37" s="5"/>
      <c r="H37" s="5"/>
    </row>
    <row r="38" spans="1:8" ht="15.5">
      <c r="A38" s="8">
        <v>45243</v>
      </c>
      <c r="B38" s="9">
        <v>-2901</v>
      </c>
      <c r="C38" s="3" t="s">
        <v>6</v>
      </c>
      <c r="D38" s="10">
        <f t="shared" si="0"/>
        <v>-31272.440000000002</v>
      </c>
      <c r="E38" s="4"/>
      <c r="F38" s="4"/>
      <c r="G38" s="5"/>
      <c r="H38" s="5"/>
    </row>
    <row r="39" spans="1:8" ht="15.5">
      <c r="A39" s="8">
        <v>45240</v>
      </c>
      <c r="B39" s="9">
        <v>-1654</v>
      </c>
      <c r="C39" s="3" t="s">
        <v>38</v>
      </c>
      <c r="D39" s="10">
        <f t="shared" si="0"/>
        <v>-32926.44</v>
      </c>
      <c r="E39" s="4"/>
      <c r="F39" s="4"/>
      <c r="G39" s="5"/>
      <c r="H39" s="5"/>
    </row>
    <row r="40" spans="1:8" ht="15.5">
      <c r="A40" s="8">
        <v>45239</v>
      </c>
      <c r="B40" s="9">
        <v>-2191</v>
      </c>
      <c r="C40" s="3" t="s">
        <v>37</v>
      </c>
      <c r="D40" s="10">
        <f t="shared" si="0"/>
        <v>-35117.440000000002</v>
      </c>
      <c r="E40" s="4"/>
      <c r="F40" s="4"/>
      <c r="G40" s="5"/>
      <c r="H40" s="5"/>
    </row>
    <row r="41" spans="1:8" ht="15.5">
      <c r="A41" s="8">
        <v>45257</v>
      </c>
      <c r="B41" s="9">
        <v>-3000</v>
      </c>
      <c r="C41" s="3" t="s">
        <v>31</v>
      </c>
      <c r="D41" s="10">
        <f t="shared" ref="D41:D57" si="1">+D40+B41</f>
        <v>-38117.440000000002</v>
      </c>
      <c r="E41" s="4"/>
      <c r="F41" s="4"/>
      <c r="G41" s="5"/>
      <c r="H41" s="5"/>
    </row>
    <row r="42" spans="1:8" ht="15.5">
      <c r="A42" s="8">
        <v>45257</v>
      </c>
      <c r="B42" s="9">
        <v>-8500</v>
      </c>
      <c r="C42" s="3" t="s">
        <v>54</v>
      </c>
      <c r="D42" s="10">
        <f t="shared" si="1"/>
        <v>-46617.440000000002</v>
      </c>
      <c r="E42" s="4"/>
      <c r="F42" s="4"/>
      <c r="G42" s="5"/>
      <c r="H42" s="5"/>
    </row>
    <row r="43" spans="1:8" ht="15.5">
      <c r="A43" s="8">
        <v>45257</v>
      </c>
      <c r="B43" s="9">
        <v>-8500</v>
      </c>
      <c r="C43" s="3" t="s">
        <v>55</v>
      </c>
      <c r="D43" s="10">
        <f t="shared" si="1"/>
        <v>-55117.440000000002</v>
      </c>
      <c r="E43" s="4"/>
      <c r="F43" s="4"/>
      <c r="G43" s="5"/>
      <c r="H43" s="5"/>
    </row>
    <row r="44" spans="1:8" ht="15.5">
      <c r="A44" s="8">
        <v>45257</v>
      </c>
      <c r="B44" s="9">
        <v>-12000</v>
      </c>
      <c r="C44" s="3" t="s">
        <v>56</v>
      </c>
      <c r="D44" s="10">
        <f t="shared" si="1"/>
        <v>-67117.440000000002</v>
      </c>
      <c r="E44" s="4"/>
      <c r="F44" s="4"/>
      <c r="G44" s="5"/>
      <c r="H44" s="5"/>
    </row>
    <row r="45" spans="1:8" ht="15.5">
      <c r="A45" s="8">
        <v>45260</v>
      </c>
      <c r="B45" s="9">
        <v>-2000</v>
      </c>
      <c r="C45" s="21" t="s">
        <v>31</v>
      </c>
      <c r="D45" s="10">
        <f t="shared" si="1"/>
        <v>-69117.440000000002</v>
      </c>
      <c r="E45" s="4"/>
      <c r="F45" s="4"/>
      <c r="G45" s="5"/>
      <c r="H45" s="5"/>
    </row>
    <row r="46" spans="1:8" ht="15.5">
      <c r="A46" s="8">
        <v>45260</v>
      </c>
      <c r="B46" s="9">
        <v>-1000</v>
      </c>
      <c r="C46" s="3" t="s">
        <v>57</v>
      </c>
      <c r="D46" s="10">
        <f t="shared" si="1"/>
        <v>-70117.440000000002</v>
      </c>
      <c r="E46" s="4"/>
      <c r="F46" s="4"/>
      <c r="G46" s="5"/>
      <c r="H46" s="5"/>
    </row>
    <row r="47" spans="1:8" ht="15.5">
      <c r="A47" s="8"/>
      <c r="B47" s="9"/>
      <c r="C47" s="3"/>
      <c r="D47" s="10">
        <f t="shared" si="1"/>
        <v>-70117.440000000002</v>
      </c>
      <c r="E47" s="4"/>
      <c r="F47" s="4"/>
      <c r="G47" s="5"/>
      <c r="H47" s="5"/>
    </row>
    <row r="48" spans="1:8" ht="15.5">
      <c r="A48" s="8"/>
      <c r="B48" s="9"/>
      <c r="C48" s="3"/>
      <c r="D48" s="10">
        <f t="shared" si="1"/>
        <v>-70117.440000000002</v>
      </c>
      <c r="E48" s="4"/>
      <c r="F48" s="4"/>
      <c r="G48" s="5"/>
      <c r="H48" s="5"/>
    </row>
    <row r="49" spans="1:8" ht="15.5">
      <c r="A49" s="8"/>
      <c r="B49" s="9"/>
      <c r="C49" s="3"/>
      <c r="D49" s="10">
        <f t="shared" si="1"/>
        <v>-70117.440000000002</v>
      </c>
      <c r="E49" s="4"/>
      <c r="F49" s="4"/>
      <c r="G49" s="5"/>
      <c r="H49" s="5"/>
    </row>
    <row r="50" spans="1:8" ht="15.5">
      <c r="A50" s="8"/>
      <c r="B50" s="9"/>
      <c r="C50" s="3"/>
      <c r="D50" s="10">
        <f t="shared" si="1"/>
        <v>-70117.440000000002</v>
      </c>
      <c r="E50" s="4"/>
      <c r="F50" s="4"/>
      <c r="G50" s="5"/>
      <c r="H50" s="5"/>
    </row>
    <row r="51" spans="1:8" ht="15.5">
      <c r="A51" s="8"/>
      <c r="B51" s="9"/>
      <c r="C51" s="3"/>
      <c r="D51" s="10">
        <f t="shared" si="1"/>
        <v>-70117.440000000002</v>
      </c>
      <c r="E51" s="4"/>
      <c r="F51" s="4"/>
      <c r="G51" s="5"/>
      <c r="H51" s="5"/>
    </row>
    <row r="52" spans="1:8" ht="15.5">
      <c r="A52" s="8"/>
      <c r="B52" s="9"/>
      <c r="C52" s="3"/>
      <c r="D52" s="10">
        <f t="shared" si="1"/>
        <v>-70117.440000000002</v>
      </c>
      <c r="E52" s="4"/>
      <c r="F52" s="4"/>
      <c r="G52" s="5"/>
      <c r="H52" s="5"/>
    </row>
    <row r="53" spans="1:8" ht="15.5">
      <c r="A53" s="8"/>
      <c r="B53" s="9"/>
      <c r="C53" s="3"/>
      <c r="D53" s="10">
        <f t="shared" si="1"/>
        <v>-70117.440000000002</v>
      </c>
      <c r="E53" s="4"/>
      <c r="F53" s="4"/>
      <c r="G53" s="5"/>
      <c r="H53" s="5"/>
    </row>
    <row r="54" spans="1:8" ht="15.5">
      <c r="A54" s="8"/>
      <c r="B54" s="9">
        <f>SUM(B9:B53)</f>
        <v>-134117.44</v>
      </c>
      <c r="C54" s="3"/>
      <c r="D54" s="10">
        <f t="shared" si="1"/>
        <v>-204234.88</v>
      </c>
      <c r="E54" s="4"/>
      <c r="F54" s="4"/>
      <c r="G54" s="5"/>
      <c r="H54" s="5"/>
    </row>
    <row r="55" spans="1:8" ht="15.5">
      <c r="A55" s="8"/>
      <c r="B55" s="9"/>
      <c r="C55" s="3"/>
      <c r="D55" s="10">
        <f t="shared" si="1"/>
        <v>-204234.88</v>
      </c>
      <c r="E55" s="4"/>
      <c r="F55" s="4"/>
      <c r="G55" s="5"/>
      <c r="H55" s="5"/>
    </row>
    <row r="56" spans="1:8" ht="15.5">
      <c r="A56" s="8"/>
      <c r="B56" s="9"/>
      <c r="C56" s="3"/>
      <c r="D56" s="10">
        <f t="shared" si="1"/>
        <v>-204234.88</v>
      </c>
      <c r="E56" s="4"/>
      <c r="F56" s="4"/>
      <c r="G56" s="5"/>
      <c r="H56" s="5"/>
    </row>
    <row r="57" spans="1:8" ht="15.5">
      <c r="A57" s="8"/>
      <c r="B57" s="9"/>
      <c r="C57" s="3"/>
      <c r="D57" s="10">
        <f t="shared" si="1"/>
        <v>-204234.88</v>
      </c>
      <c r="E57" s="4"/>
      <c r="F57" s="4"/>
      <c r="G57" s="5"/>
      <c r="H57" s="5"/>
    </row>
    <row r="58" spans="1:8" ht="15.5">
      <c r="A58" s="8"/>
      <c r="B58" s="9"/>
      <c r="C58" s="3"/>
      <c r="D58" s="10"/>
      <c r="E58" s="4"/>
      <c r="F58" s="4"/>
      <c r="G58" s="5"/>
      <c r="H58" s="5"/>
    </row>
    <row r="59" spans="1:8" ht="15.5">
      <c r="A59" s="8"/>
      <c r="B59" s="9"/>
      <c r="C59" s="3"/>
      <c r="D59" s="22"/>
      <c r="E59" s="4"/>
      <c r="F59" s="4"/>
      <c r="G59" s="5"/>
      <c r="H59" s="5"/>
    </row>
    <row r="60" spans="1:8" ht="15.5">
      <c r="A60" s="8"/>
      <c r="B60" s="9"/>
      <c r="C60" s="3"/>
      <c r="D60" s="22"/>
      <c r="E60" s="4"/>
      <c r="F60" s="4"/>
      <c r="G60" s="5"/>
      <c r="H60" s="5"/>
    </row>
    <row r="61" spans="1:8" ht="15.5">
      <c r="A61" s="8"/>
      <c r="B61" s="9"/>
      <c r="C61" s="3"/>
      <c r="D61" s="22"/>
      <c r="E61" s="4"/>
      <c r="F61" s="4"/>
      <c r="G61" s="5"/>
      <c r="H61" s="5"/>
    </row>
    <row r="62" spans="1:8" ht="15.5">
      <c r="A62" s="8"/>
      <c r="B62" s="9"/>
      <c r="C62" s="3"/>
      <c r="D62" s="22"/>
      <c r="E62" s="4"/>
      <c r="F62" s="4"/>
      <c r="G62" s="5"/>
      <c r="H62" s="5"/>
    </row>
    <row r="63" spans="1:8" ht="15.5">
      <c r="A63" s="8"/>
      <c r="B63" s="9"/>
      <c r="C63" s="3"/>
      <c r="D63" s="22"/>
      <c r="E63" s="4"/>
      <c r="F63" s="4"/>
      <c r="G63" s="5"/>
      <c r="H63" s="5"/>
    </row>
    <row r="64" spans="1:8" ht="15.5">
      <c r="A64" s="8"/>
      <c r="B64" s="9"/>
      <c r="C64" s="3"/>
      <c r="D64" s="22"/>
      <c r="E64" s="4"/>
      <c r="F64" s="4"/>
      <c r="G64" s="5"/>
      <c r="H64" s="5"/>
    </row>
    <row r="65" spans="1:10" ht="15.5">
      <c r="A65" s="8"/>
      <c r="B65" s="9"/>
      <c r="C65" s="3"/>
      <c r="D65" s="22"/>
      <c r="E65" s="4"/>
      <c r="F65" s="4"/>
      <c r="G65" s="5"/>
      <c r="H65" s="5"/>
    </row>
    <row r="66" spans="1:10" ht="15.5">
      <c r="A66" s="8"/>
      <c r="B66" s="9"/>
      <c r="C66" s="3"/>
      <c r="D66" s="22"/>
      <c r="E66" s="4"/>
      <c r="F66" s="4"/>
      <c r="G66" s="5"/>
      <c r="H66" s="5"/>
    </row>
    <row r="67" spans="1:10" ht="15.5">
      <c r="A67" s="8"/>
      <c r="B67" s="9"/>
      <c r="C67" s="3"/>
      <c r="D67" s="22"/>
      <c r="E67" s="4"/>
      <c r="F67" s="4"/>
      <c r="G67" s="5"/>
      <c r="H67" s="5"/>
    </row>
    <row r="68" spans="1:10" ht="15.5">
      <c r="A68" s="8"/>
      <c r="B68" s="9"/>
      <c r="C68" s="3"/>
      <c r="D68" s="22"/>
      <c r="E68" s="4"/>
      <c r="F68" s="4"/>
      <c r="G68" s="5"/>
      <c r="H68" s="5"/>
    </row>
    <row r="69" spans="1:10" ht="15.5">
      <c r="A69" s="8"/>
      <c r="B69" s="9"/>
      <c r="C69" s="3"/>
      <c r="D69" s="22"/>
      <c r="E69" s="4"/>
      <c r="F69" s="4"/>
      <c r="G69" s="5"/>
      <c r="H69" s="5"/>
    </row>
    <row r="70" spans="1:10" ht="15.5">
      <c r="A70" s="8">
        <v>45232</v>
      </c>
      <c r="B70" s="12"/>
      <c r="C70" s="14" t="s">
        <v>30</v>
      </c>
      <c r="D70" s="10">
        <f t="shared" ref="D70:D101" si="2">+D69+B70</f>
        <v>0</v>
      </c>
      <c r="E70" s="4"/>
      <c r="F70" s="4"/>
      <c r="G70" s="5"/>
      <c r="H70" s="5"/>
    </row>
    <row r="71" spans="1:10" ht="15.5">
      <c r="A71" s="8">
        <v>45232</v>
      </c>
      <c r="B71" s="12"/>
      <c r="C71" s="14" t="s">
        <v>19</v>
      </c>
      <c r="D71" s="10">
        <f t="shared" si="2"/>
        <v>0</v>
      </c>
      <c r="E71" s="4"/>
      <c r="F71" s="4"/>
      <c r="G71" s="5"/>
      <c r="H71" s="5"/>
    </row>
    <row r="72" spans="1:10" ht="15.5">
      <c r="A72" s="8">
        <v>45233</v>
      </c>
      <c r="B72" s="9">
        <v>-500</v>
      </c>
      <c r="C72" s="3" t="s">
        <v>31</v>
      </c>
      <c r="D72" s="10">
        <f t="shared" si="2"/>
        <v>-500</v>
      </c>
      <c r="E72" s="4"/>
      <c r="F72" s="4"/>
      <c r="G72" s="5"/>
      <c r="H72" s="5"/>
      <c r="J72" s="2"/>
    </row>
    <row r="73" spans="1:10" ht="15.5">
      <c r="A73" s="8">
        <v>45234</v>
      </c>
      <c r="B73" s="2">
        <v>-2300</v>
      </c>
      <c r="C73" s="16" t="s">
        <v>6</v>
      </c>
      <c r="D73" s="10">
        <f t="shared" si="2"/>
        <v>-2800</v>
      </c>
      <c r="E73" s="4"/>
      <c r="F73" s="4"/>
      <c r="G73" s="5"/>
      <c r="H73" s="5"/>
    </row>
    <row r="74" spans="1:10" ht="15.5">
      <c r="A74" s="8">
        <v>45234</v>
      </c>
      <c r="B74" s="12">
        <v>-1300</v>
      </c>
      <c r="C74" s="14" t="s">
        <v>32</v>
      </c>
      <c r="D74" s="10">
        <f t="shared" si="2"/>
        <v>-4100</v>
      </c>
      <c r="E74" s="4"/>
      <c r="F74" s="4"/>
      <c r="G74" s="5">
        <f>SUM(G29:G73)</f>
        <v>351200</v>
      </c>
      <c r="H74" s="5"/>
    </row>
    <row r="75" spans="1:10" ht="15.5">
      <c r="A75" s="8">
        <v>45234</v>
      </c>
      <c r="B75" s="12">
        <v>-1200</v>
      </c>
      <c r="C75" s="14" t="s">
        <v>33</v>
      </c>
      <c r="D75" s="10">
        <f t="shared" si="2"/>
        <v>-5300</v>
      </c>
      <c r="E75" s="4"/>
      <c r="F75" s="4"/>
      <c r="G75" s="5"/>
      <c r="H75" s="5"/>
      <c r="J75" s="11"/>
    </row>
    <row r="76" spans="1:10" ht="15.5">
      <c r="A76" s="8">
        <v>45235</v>
      </c>
      <c r="B76" s="9">
        <f>-300*56</f>
        <v>-16800</v>
      </c>
      <c r="C76" s="3" t="s">
        <v>34</v>
      </c>
      <c r="D76" s="10">
        <f t="shared" si="2"/>
        <v>-22100</v>
      </c>
      <c r="E76" s="4"/>
      <c r="F76" s="4"/>
      <c r="G76" s="5"/>
      <c r="H76" s="5"/>
    </row>
    <row r="77" spans="1:10" ht="15.5">
      <c r="A77" s="8">
        <v>45238</v>
      </c>
      <c r="B77" s="9">
        <v>-600</v>
      </c>
      <c r="C77" s="3" t="s">
        <v>35</v>
      </c>
      <c r="D77" s="10">
        <f t="shared" si="2"/>
        <v>-22700</v>
      </c>
      <c r="E77" s="4"/>
      <c r="F77" s="4"/>
      <c r="G77" s="5"/>
      <c r="H77" s="5"/>
    </row>
    <row r="78" spans="1:10" ht="15.5">
      <c r="A78" s="8">
        <v>45238</v>
      </c>
      <c r="B78" s="9"/>
      <c r="C78" s="3" t="s">
        <v>36</v>
      </c>
      <c r="D78" s="10">
        <f t="shared" si="2"/>
        <v>-22700</v>
      </c>
      <c r="E78" s="4"/>
      <c r="F78" s="4"/>
      <c r="G78" s="5"/>
      <c r="H78" s="5"/>
    </row>
    <row r="79" spans="1:10" ht="15.5">
      <c r="A79" s="8">
        <v>45238</v>
      </c>
      <c r="B79" s="9"/>
      <c r="C79" s="3" t="s">
        <v>37</v>
      </c>
      <c r="D79" s="10">
        <f t="shared" si="2"/>
        <v>-22700</v>
      </c>
      <c r="E79" s="4"/>
      <c r="F79" s="17"/>
      <c r="G79" s="5"/>
      <c r="H79" s="5"/>
    </row>
    <row r="80" spans="1:10" ht="15.5">
      <c r="A80" s="8">
        <v>45234</v>
      </c>
      <c r="B80" s="9">
        <v>-1424</v>
      </c>
      <c r="C80" s="3" t="s">
        <v>38</v>
      </c>
      <c r="D80" s="10">
        <f t="shared" si="2"/>
        <v>-24124</v>
      </c>
      <c r="E80" s="4"/>
      <c r="F80" s="4"/>
      <c r="G80" s="5"/>
      <c r="H80" s="5"/>
    </row>
    <row r="81" spans="1:10" ht="15.5">
      <c r="A81" s="8">
        <v>45238</v>
      </c>
      <c r="B81" s="9"/>
      <c r="C81" s="3"/>
      <c r="D81" s="10">
        <f t="shared" si="2"/>
        <v>-24124</v>
      </c>
      <c r="E81" s="4"/>
      <c r="F81" s="4"/>
      <c r="G81" s="5"/>
      <c r="H81" s="5"/>
    </row>
    <row r="82" spans="1:10" ht="15.5">
      <c r="A82" s="8">
        <v>45240</v>
      </c>
      <c r="B82" s="2">
        <v>-1000</v>
      </c>
      <c r="C82" s="18" t="s">
        <v>31</v>
      </c>
      <c r="D82" s="10">
        <f t="shared" si="2"/>
        <v>-25124</v>
      </c>
      <c r="E82" s="4"/>
      <c r="F82" s="4"/>
      <c r="G82" s="5"/>
      <c r="H82" s="5"/>
    </row>
    <row r="83" spans="1:10" ht="15.5">
      <c r="A83" s="8">
        <v>45239</v>
      </c>
      <c r="B83" s="9">
        <v>-500</v>
      </c>
      <c r="C83" s="3" t="s">
        <v>37</v>
      </c>
      <c r="D83" s="10">
        <f t="shared" si="2"/>
        <v>-25624</v>
      </c>
      <c r="E83" s="4"/>
      <c r="F83" s="4"/>
      <c r="G83" s="5"/>
      <c r="H83" s="5"/>
    </row>
    <row r="84" spans="1:10" ht="15.5">
      <c r="A84" s="8">
        <v>45237</v>
      </c>
      <c r="B84" s="9">
        <v>-2400</v>
      </c>
      <c r="C84" s="3" t="s">
        <v>6</v>
      </c>
      <c r="D84" s="10">
        <f t="shared" si="2"/>
        <v>-28024</v>
      </c>
      <c r="E84" s="4"/>
      <c r="F84" s="4"/>
      <c r="G84" s="5"/>
      <c r="H84" s="5"/>
      <c r="J84" s="11">
        <v>284865</v>
      </c>
    </row>
    <row r="85" spans="1:10" ht="15.5">
      <c r="A85" s="8">
        <v>45237</v>
      </c>
      <c r="B85" s="9">
        <v>-1097</v>
      </c>
      <c r="C85" s="3" t="s">
        <v>33</v>
      </c>
      <c r="D85" s="10">
        <f t="shared" si="2"/>
        <v>-29121</v>
      </c>
      <c r="E85" s="4"/>
      <c r="F85" s="4" t="s">
        <v>39</v>
      </c>
      <c r="G85" s="2">
        <v>385000</v>
      </c>
      <c r="H85" s="5"/>
    </row>
    <row r="86" spans="1:10" ht="15.5">
      <c r="A86" s="8">
        <v>45237</v>
      </c>
      <c r="B86" s="9">
        <v>-1150</v>
      </c>
      <c r="C86" s="3" t="s">
        <v>40</v>
      </c>
      <c r="D86" s="10">
        <f t="shared" si="2"/>
        <v>-30271</v>
      </c>
      <c r="E86" s="4"/>
      <c r="F86" s="4" t="s">
        <v>41</v>
      </c>
      <c r="G86" s="2">
        <v>-3133.64</v>
      </c>
      <c r="H86" s="5"/>
    </row>
    <row r="87" spans="1:10" ht="15.5">
      <c r="A87" s="8">
        <v>45237</v>
      </c>
      <c r="B87" s="9">
        <v>-731</v>
      </c>
      <c r="C87" s="3" t="s">
        <v>42</v>
      </c>
      <c r="D87" s="10">
        <f t="shared" si="2"/>
        <v>-31002</v>
      </c>
      <c r="E87" s="4"/>
      <c r="F87" s="19" t="s">
        <v>43</v>
      </c>
      <c r="G87" s="2">
        <v>-368.66</v>
      </c>
      <c r="H87" s="5"/>
    </row>
    <row r="88" spans="1:10" ht="15.5">
      <c r="A88" s="8">
        <v>45239</v>
      </c>
      <c r="B88" s="9">
        <v>-3050</v>
      </c>
      <c r="C88" s="3" t="s">
        <v>37</v>
      </c>
      <c r="D88" s="10">
        <f t="shared" si="2"/>
        <v>-34052</v>
      </c>
      <c r="E88" s="4"/>
      <c r="F88" s="4" t="s">
        <v>44</v>
      </c>
      <c r="G88" s="2">
        <v>-1163.1300000000001</v>
      </c>
      <c r="H88" s="5"/>
    </row>
    <row r="89" spans="1:10" ht="15.5">
      <c r="A89" s="8">
        <v>45239</v>
      </c>
      <c r="B89" s="9">
        <v>-1173</v>
      </c>
      <c r="C89" s="3" t="s">
        <v>37</v>
      </c>
      <c r="D89" s="10">
        <f t="shared" si="2"/>
        <v>-35225</v>
      </c>
      <c r="E89" s="4"/>
      <c r="F89" s="4" t="s">
        <v>45</v>
      </c>
      <c r="G89" s="2">
        <v>-553</v>
      </c>
      <c r="H89" s="5"/>
    </row>
    <row r="90" spans="1:10" ht="15.5">
      <c r="A90" s="20">
        <v>45258</v>
      </c>
      <c r="B90" s="2">
        <v>-670</v>
      </c>
      <c r="C90" s="18" t="s">
        <v>19</v>
      </c>
      <c r="D90" s="10">
        <f t="shared" si="2"/>
        <v>-35895</v>
      </c>
      <c r="E90" s="4"/>
      <c r="F90" s="4" t="s">
        <v>46</v>
      </c>
      <c r="G90" s="2">
        <v>-553</v>
      </c>
      <c r="H90" s="5"/>
    </row>
    <row r="91" spans="1:10" ht="15.5">
      <c r="A91" s="20">
        <v>45258</v>
      </c>
      <c r="B91" s="2">
        <v>-1412</v>
      </c>
      <c r="C91" s="18" t="s">
        <v>38</v>
      </c>
      <c r="D91" s="10">
        <f t="shared" si="2"/>
        <v>-37307</v>
      </c>
      <c r="E91" s="4"/>
      <c r="F91" s="4" t="s">
        <v>47</v>
      </c>
      <c r="G91" s="2">
        <v>-553</v>
      </c>
      <c r="H91" s="5"/>
    </row>
    <row r="92" spans="1:10" ht="15.5">
      <c r="A92" s="8">
        <v>45257</v>
      </c>
      <c r="B92" s="9">
        <v>-3000</v>
      </c>
      <c r="C92" s="3" t="s">
        <v>6</v>
      </c>
      <c r="D92" s="10">
        <f t="shared" si="2"/>
        <v>-40307</v>
      </c>
      <c r="E92" s="4"/>
      <c r="H92" s="5"/>
    </row>
    <row r="93" spans="1:10" ht="15.5">
      <c r="A93" s="8">
        <v>45257</v>
      </c>
      <c r="B93" s="9">
        <v>-265</v>
      </c>
      <c r="C93" s="3" t="s">
        <v>37</v>
      </c>
      <c r="D93" s="10">
        <f t="shared" si="2"/>
        <v>-40572</v>
      </c>
      <c r="E93" s="4"/>
      <c r="F93" s="4" t="s">
        <v>48</v>
      </c>
      <c r="G93" s="2">
        <f>SUM(G85:G91)</f>
        <v>378675.57</v>
      </c>
      <c r="H93" s="5"/>
    </row>
    <row r="94" spans="1:10" ht="15.5">
      <c r="A94" s="8">
        <v>45257</v>
      </c>
      <c r="B94" s="9">
        <v>-835.44</v>
      </c>
      <c r="C94" s="3"/>
      <c r="D94" s="10">
        <f t="shared" si="2"/>
        <v>-41407.440000000002</v>
      </c>
      <c r="E94" s="4"/>
      <c r="F94" s="4" t="s">
        <v>49</v>
      </c>
      <c r="G94" s="2">
        <f>+G93*0.25</f>
        <v>94668.892500000002</v>
      </c>
      <c r="H94" s="5"/>
    </row>
    <row r="95" spans="1:10" ht="15.5">
      <c r="A95" s="8">
        <v>45257</v>
      </c>
      <c r="B95" s="9">
        <v>-8849</v>
      </c>
      <c r="C95" s="3" t="s">
        <v>37</v>
      </c>
      <c r="D95" s="10">
        <f t="shared" si="2"/>
        <v>-50256.44</v>
      </c>
      <c r="E95" s="4"/>
      <c r="F95" s="4" t="s">
        <v>50</v>
      </c>
      <c r="G95" s="5">
        <v>-90000</v>
      </c>
      <c r="H95" s="5"/>
      <c r="J95" s="2"/>
    </row>
    <row r="96" spans="1:10" ht="15.5">
      <c r="A96" s="8">
        <v>45257</v>
      </c>
      <c r="B96" s="9"/>
      <c r="C96" s="3" t="s">
        <v>51</v>
      </c>
      <c r="D96" s="10">
        <f t="shared" si="2"/>
        <v>-50256.44</v>
      </c>
      <c r="E96" s="4"/>
      <c r="F96" s="4" t="s">
        <v>52</v>
      </c>
      <c r="G96" s="5">
        <f>SUM(G94:G95)</f>
        <v>4668.8925000000017</v>
      </c>
      <c r="H96" s="5"/>
    </row>
    <row r="97" spans="1:10" ht="15.5">
      <c r="A97" s="8">
        <v>45254</v>
      </c>
      <c r="B97" s="9">
        <v>-730</v>
      </c>
      <c r="C97" s="3" t="s">
        <v>53</v>
      </c>
      <c r="D97" s="10">
        <f t="shared" si="2"/>
        <v>-50986.44</v>
      </c>
      <c r="E97" s="4"/>
      <c r="F97" s="4"/>
      <c r="G97" s="5"/>
      <c r="H97" s="5"/>
    </row>
    <row r="98" spans="1:10" ht="15.5">
      <c r="A98" s="8">
        <v>45244</v>
      </c>
      <c r="B98" s="9">
        <v>-350</v>
      </c>
      <c r="C98" s="3" t="s">
        <v>53</v>
      </c>
      <c r="D98" s="10">
        <f t="shared" si="2"/>
        <v>-51336.44</v>
      </c>
      <c r="E98" s="4"/>
      <c r="F98" s="4"/>
      <c r="G98" s="5"/>
      <c r="H98" s="5"/>
      <c r="J98" s="11"/>
    </row>
    <row r="99" spans="1:10" ht="15.5">
      <c r="A99" s="8">
        <v>45243</v>
      </c>
      <c r="B99" s="9">
        <v>-2901</v>
      </c>
      <c r="C99" s="3" t="s">
        <v>6</v>
      </c>
      <c r="D99" s="10">
        <f t="shared" si="2"/>
        <v>-54237.440000000002</v>
      </c>
      <c r="E99" s="4"/>
      <c r="F99" s="4"/>
      <c r="G99" s="5"/>
      <c r="H99" s="5"/>
    </row>
    <row r="100" spans="1:10" ht="15.5">
      <c r="A100" s="8">
        <v>45240</v>
      </c>
      <c r="B100" s="9">
        <v>-1654</v>
      </c>
      <c r="C100" s="3" t="s">
        <v>38</v>
      </c>
      <c r="D100" s="10">
        <f t="shared" si="2"/>
        <v>-55891.44</v>
      </c>
      <c r="E100" s="4"/>
      <c r="F100" s="4"/>
      <c r="G100" s="5"/>
      <c r="H100" s="5">
        <v>284865</v>
      </c>
    </row>
    <row r="101" spans="1:10" ht="15.5">
      <c r="A101" s="8">
        <v>45239</v>
      </c>
      <c r="B101" s="9">
        <v>-2191</v>
      </c>
      <c r="C101" s="3" t="s">
        <v>37</v>
      </c>
      <c r="D101" s="10">
        <f t="shared" si="2"/>
        <v>-58082.44</v>
      </c>
      <c r="E101" s="4"/>
      <c r="F101" s="4"/>
      <c r="G101" s="5"/>
      <c r="H101" s="5">
        <v>90000</v>
      </c>
    </row>
    <row r="102" spans="1:10" ht="15.5">
      <c r="A102" s="8">
        <v>45257</v>
      </c>
      <c r="B102" s="9">
        <v>-3000</v>
      </c>
      <c r="C102" s="3" t="s">
        <v>31</v>
      </c>
      <c r="D102" s="10">
        <f t="shared" ref="D102:D118" si="3">+D101+B102</f>
        <v>-61082.44</v>
      </c>
      <c r="E102" s="4"/>
      <c r="F102" s="17">
        <f>SUM(B25:B100)</f>
        <v>-267095.32</v>
      </c>
      <c r="G102" s="5"/>
      <c r="H102" s="5">
        <v>5000</v>
      </c>
    </row>
    <row r="103" spans="1:10" ht="15.5">
      <c r="A103" s="8">
        <v>45257</v>
      </c>
      <c r="B103" s="9"/>
      <c r="C103" s="3" t="s">
        <v>54</v>
      </c>
      <c r="D103" s="10">
        <f t="shared" si="3"/>
        <v>-61082.44</v>
      </c>
      <c r="E103" s="4"/>
      <c r="F103" s="4"/>
      <c r="G103" s="5"/>
      <c r="H103" s="5">
        <f>SUM(H100:H102)</f>
        <v>379865</v>
      </c>
    </row>
    <row r="104" spans="1:10" ht="15.5">
      <c r="A104" s="8">
        <v>45257</v>
      </c>
      <c r="B104" s="9"/>
      <c r="C104" s="3" t="s">
        <v>55</v>
      </c>
      <c r="D104" s="10">
        <f t="shared" si="3"/>
        <v>-61082.44</v>
      </c>
      <c r="E104" s="4"/>
      <c r="F104" s="4"/>
      <c r="G104" s="5"/>
      <c r="H104" s="5"/>
    </row>
    <row r="105" spans="1:10" ht="15.5">
      <c r="A105" s="8">
        <v>45257</v>
      </c>
      <c r="B105" s="9">
        <v>-12000</v>
      </c>
      <c r="C105" s="3" t="s">
        <v>56</v>
      </c>
      <c r="D105" s="10">
        <f t="shared" si="3"/>
        <v>-73082.44</v>
      </c>
      <c r="E105" s="4"/>
      <c r="F105" s="4"/>
      <c r="G105" s="5"/>
      <c r="H105" s="5"/>
    </row>
    <row r="106" spans="1:10" ht="15.5">
      <c r="A106" s="8">
        <v>45260</v>
      </c>
      <c r="B106" s="9">
        <v>-2000</v>
      </c>
      <c r="C106" s="21" t="s">
        <v>31</v>
      </c>
      <c r="D106" s="10">
        <f t="shared" si="3"/>
        <v>-75082.44</v>
      </c>
      <c r="E106" s="4"/>
      <c r="F106" s="4"/>
      <c r="G106" s="5"/>
      <c r="H106" s="5"/>
    </row>
    <row r="107" spans="1:10" ht="15.5">
      <c r="A107" s="8">
        <v>45260</v>
      </c>
      <c r="B107" s="9">
        <v>-1000</v>
      </c>
      <c r="C107" s="3" t="s">
        <v>57</v>
      </c>
      <c r="D107" s="10">
        <f t="shared" si="3"/>
        <v>-76082.44</v>
      </c>
      <c r="E107" s="4"/>
      <c r="F107" s="4"/>
      <c r="G107" s="5"/>
      <c r="H107" s="5"/>
    </row>
    <row r="108" spans="1:10" ht="15.5">
      <c r="A108" s="8"/>
      <c r="B108" s="9"/>
      <c r="C108" s="3"/>
      <c r="D108" s="10">
        <f t="shared" si="3"/>
        <v>-76082.44</v>
      </c>
      <c r="E108" s="4"/>
      <c r="F108" s="4"/>
      <c r="G108" s="5"/>
      <c r="H108" s="5"/>
    </row>
    <row r="109" spans="1:10" ht="15.5">
      <c r="A109" s="8"/>
      <c r="B109" s="9"/>
      <c r="C109" s="3"/>
      <c r="D109" s="10">
        <f t="shared" si="3"/>
        <v>-76082.44</v>
      </c>
      <c r="E109" s="4"/>
      <c r="F109" s="4"/>
      <c r="G109" s="5"/>
      <c r="H109" s="5"/>
    </row>
    <row r="110" spans="1:10" ht="15.5">
      <c r="A110" s="8"/>
      <c r="B110" s="9"/>
      <c r="C110" s="3"/>
      <c r="D110" s="10">
        <f t="shared" si="3"/>
        <v>-76082.44</v>
      </c>
      <c r="E110" s="4"/>
      <c r="F110" s="4"/>
      <c r="G110" s="5"/>
      <c r="H110" s="5"/>
    </row>
    <row r="111" spans="1:10" ht="15.5">
      <c r="A111" s="8"/>
      <c r="B111" s="9">
        <f>SUM(B70:B110)</f>
        <v>-76082.44</v>
      </c>
      <c r="C111" s="3"/>
      <c r="D111" s="10">
        <f t="shared" si="3"/>
        <v>-152164.88</v>
      </c>
      <c r="E111" s="4"/>
      <c r="F111" s="4"/>
      <c r="G111" s="5"/>
      <c r="H111" s="5"/>
    </row>
    <row r="112" spans="1:10" ht="15.5">
      <c r="A112" s="8"/>
      <c r="B112" s="9"/>
      <c r="C112" s="3"/>
      <c r="D112" s="10">
        <f t="shared" si="3"/>
        <v>-152164.88</v>
      </c>
      <c r="E112" s="4"/>
      <c r="F112" s="4"/>
      <c r="G112" s="5"/>
      <c r="H112" s="5"/>
    </row>
    <row r="113" spans="1:8" ht="15.5">
      <c r="A113" s="8"/>
      <c r="B113" s="9"/>
      <c r="C113" s="3"/>
      <c r="D113" s="10">
        <f t="shared" si="3"/>
        <v>-152164.88</v>
      </c>
      <c r="E113" s="4"/>
      <c r="F113" s="4"/>
      <c r="G113" s="5"/>
      <c r="H113" s="5"/>
    </row>
    <row r="114" spans="1:8" ht="15.5">
      <c r="A114" s="8"/>
      <c r="B114" s="9"/>
      <c r="C114" s="3"/>
      <c r="D114" s="10">
        <f t="shared" si="3"/>
        <v>-152164.88</v>
      </c>
      <c r="E114" s="4"/>
      <c r="F114" s="4"/>
      <c r="G114" s="5"/>
      <c r="H114" s="5"/>
    </row>
    <row r="115" spans="1:8" ht="15.5">
      <c r="A115" s="8"/>
      <c r="B115" s="9">
        <f>SUM(B70:B114)</f>
        <v>-152164.88</v>
      </c>
      <c r="C115" s="3"/>
      <c r="D115" s="10">
        <f t="shared" si="3"/>
        <v>-304329.76</v>
      </c>
      <c r="E115" s="4"/>
      <c r="F115" s="4"/>
      <c r="G115" s="5"/>
      <c r="H115" s="5"/>
    </row>
    <row r="116" spans="1:8" ht="15.5">
      <c r="A116" s="8"/>
      <c r="B116" s="9"/>
      <c r="C116" s="3"/>
      <c r="D116" s="10">
        <f t="shared" si="3"/>
        <v>-304329.76</v>
      </c>
      <c r="E116" s="4"/>
      <c r="F116" s="4"/>
      <c r="G116" s="5"/>
      <c r="H116" s="5"/>
    </row>
    <row r="117" spans="1:8" ht="15.5">
      <c r="A117" s="8"/>
      <c r="B117" s="9"/>
      <c r="C117" s="3"/>
      <c r="D117" s="22">
        <f t="shared" si="3"/>
        <v>-304329.76</v>
      </c>
      <c r="E117" s="4"/>
      <c r="F117" s="4"/>
      <c r="G117" s="5"/>
      <c r="H117" s="5"/>
    </row>
    <row r="118" spans="1:8" ht="15.5">
      <c r="A118" s="8"/>
      <c r="B118" s="9"/>
      <c r="C118" s="3"/>
      <c r="D118" s="22">
        <f t="shared" si="3"/>
        <v>-304329.76</v>
      </c>
      <c r="E118" s="4"/>
      <c r="F118" s="4"/>
      <c r="G118" s="5"/>
      <c r="H118" s="5"/>
    </row>
    <row r="119" spans="1:8" ht="15.5">
      <c r="A119" s="8"/>
      <c r="B119" s="9"/>
      <c r="C119" s="3"/>
      <c r="D119" s="22"/>
      <c r="E119" s="4"/>
      <c r="F119" s="4"/>
      <c r="G119" s="5"/>
      <c r="H119" s="5"/>
    </row>
    <row r="120" spans="1:8" ht="15.5">
      <c r="A120" s="8"/>
      <c r="B120" s="9"/>
      <c r="C120" s="3"/>
      <c r="D120" s="22"/>
      <c r="E120" s="4"/>
      <c r="F120" s="4"/>
      <c r="G120" s="5"/>
      <c r="H120" s="5"/>
    </row>
    <row r="121" spans="1:8" ht="15.5">
      <c r="A121" s="8"/>
      <c r="B121" s="9"/>
      <c r="C121" s="3"/>
      <c r="D121" s="22"/>
      <c r="E121" s="4"/>
      <c r="F121" s="4"/>
      <c r="G121" s="5"/>
      <c r="H121" s="5"/>
    </row>
    <row r="122" spans="1:8" ht="15.5">
      <c r="A122" s="8"/>
      <c r="B122" s="9"/>
      <c r="C122" s="3"/>
      <c r="D122" s="22"/>
      <c r="E122" s="4"/>
      <c r="F122" s="4"/>
      <c r="G122" s="5"/>
      <c r="H122" s="5"/>
    </row>
    <row r="123" spans="1:8" ht="15.5">
      <c r="A123" s="8"/>
      <c r="B123" s="9"/>
      <c r="C123" s="3"/>
      <c r="D123" s="22"/>
      <c r="E123" s="4"/>
      <c r="F123" s="4"/>
      <c r="G123" s="5"/>
      <c r="H123" s="5"/>
    </row>
    <row r="124" spans="1:8" ht="15.5">
      <c r="A124" s="8"/>
      <c r="B124" s="9"/>
      <c r="C124" s="3"/>
      <c r="D124" s="22"/>
      <c r="E124" s="4"/>
      <c r="F124" s="4"/>
      <c r="G124" s="5"/>
      <c r="H124" s="5"/>
    </row>
    <row r="125" spans="1:8" ht="15.5">
      <c r="A125" s="8"/>
      <c r="B125" s="9"/>
      <c r="C125" s="3"/>
      <c r="D125" s="22"/>
      <c r="E125" s="4"/>
      <c r="F125" s="4"/>
      <c r="G125" s="5"/>
      <c r="H125" s="5"/>
    </row>
    <row r="126" spans="1:8" ht="15.5">
      <c r="A126" s="8"/>
      <c r="B126" s="9"/>
      <c r="C126" s="3"/>
      <c r="D126" s="22"/>
      <c r="E126" s="4"/>
      <c r="F126" s="4"/>
      <c r="G126" s="5"/>
      <c r="H126" s="5"/>
    </row>
    <row r="127" spans="1:8" ht="15.5">
      <c r="A127" s="8"/>
      <c r="B127" s="9"/>
      <c r="C127" s="3"/>
      <c r="D127" s="22"/>
      <c r="E127" s="4"/>
      <c r="F127" s="4"/>
      <c r="G127" s="5"/>
      <c r="H127" s="5"/>
    </row>
    <row r="128" spans="1:8" ht="15.5">
      <c r="A128" s="8"/>
      <c r="B128" s="9"/>
      <c r="C128" s="3"/>
      <c r="D128" s="22"/>
      <c r="E128" s="4"/>
      <c r="F128" s="4"/>
      <c r="G128" s="5"/>
      <c r="H128" s="5"/>
    </row>
    <row r="129" spans="1:8" ht="15.5">
      <c r="A129" s="8"/>
      <c r="B129" s="9"/>
      <c r="C129" s="3"/>
      <c r="D129" s="22"/>
      <c r="E129" s="4"/>
      <c r="F129" s="4"/>
      <c r="G129" s="5"/>
      <c r="H129" s="5"/>
    </row>
    <row r="130" spans="1:8" ht="15.5">
      <c r="A130" s="8"/>
      <c r="B130" s="9"/>
      <c r="C130" s="3"/>
      <c r="D130" s="22"/>
      <c r="E130" s="4"/>
      <c r="F130" s="4"/>
      <c r="G130" s="5"/>
      <c r="H130" s="5"/>
    </row>
    <row r="131" spans="1:8" ht="15.5">
      <c r="A131" s="8"/>
      <c r="B131" s="9"/>
      <c r="C131" s="3"/>
      <c r="D131" s="22"/>
      <c r="E131" s="4"/>
      <c r="F131" s="4"/>
      <c r="G131" s="5"/>
      <c r="H131" s="5"/>
    </row>
    <row r="132" spans="1:8" ht="15.5">
      <c r="A132" s="8"/>
      <c r="B132" s="9"/>
      <c r="C132" s="3"/>
      <c r="D132" s="22"/>
      <c r="E132" s="4"/>
      <c r="F132" s="4"/>
      <c r="G132" s="5"/>
      <c r="H132" s="5"/>
    </row>
    <row r="133" spans="1:8" ht="15.5">
      <c r="A133" s="13"/>
      <c r="B133" s="12"/>
      <c r="C133" s="14"/>
      <c r="D133" s="22"/>
      <c r="E133" s="4"/>
      <c r="F133" s="4"/>
      <c r="G133" s="5"/>
      <c r="H133" s="5"/>
    </row>
    <row r="134" spans="1:8" ht="15.5">
      <c r="A134" s="13"/>
      <c r="B134" s="12"/>
      <c r="C134" s="14"/>
      <c r="D134" s="22"/>
      <c r="E134" s="4"/>
      <c r="F134" s="4"/>
      <c r="G134" s="5"/>
      <c r="H134" s="5"/>
    </row>
    <row r="135" spans="1:8" ht="15.5">
      <c r="A135" s="8"/>
      <c r="B135" s="9"/>
      <c r="C135" s="3"/>
      <c r="D135" s="22"/>
      <c r="E135" s="4"/>
      <c r="F135" s="4"/>
      <c r="G135" s="5"/>
      <c r="H135" s="5"/>
    </row>
    <row r="136" spans="1:8" ht="15.5">
      <c r="A136" s="13"/>
      <c r="C136" s="16"/>
      <c r="D136" s="22"/>
      <c r="E136" s="4"/>
      <c r="F136" s="4"/>
      <c r="G136" s="5"/>
      <c r="H136" s="5"/>
    </row>
    <row r="137" spans="1:8" ht="15.5">
      <c r="A137" s="13"/>
      <c r="B137" s="12"/>
      <c r="C137" s="14"/>
      <c r="D137" s="22"/>
      <c r="E137" s="4"/>
      <c r="F137" s="4"/>
      <c r="G137" s="5"/>
      <c r="H137" s="5"/>
    </row>
    <row r="138" spans="1:8" ht="15.5">
      <c r="A138" s="13"/>
      <c r="B138" s="12"/>
      <c r="C138" s="14"/>
      <c r="D138" s="22"/>
      <c r="E138" s="4"/>
      <c r="F138" s="4"/>
      <c r="G138" s="5"/>
      <c r="H138" s="5"/>
    </row>
    <row r="139" spans="1:8" ht="15.5">
      <c r="A139" s="13"/>
      <c r="B139" s="12"/>
      <c r="C139" s="14"/>
      <c r="D139" s="22"/>
      <c r="E139" s="4"/>
      <c r="F139" s="4"/>
      <c r="G139" s="5"/>
      <c r="H139" s="5"/>
    </row>
    <row r="140" spans="1:8" ht="15.5">
      <c r="A140" s="8"/>
      <c r="B140" s="12"/>
      <c r="C140" s="14"/>
      <c r="D140" s="22"/>
      <c r="E140" s="4"/>
      <c r="F140" s="4"/>
      <c r="G140" s="5"/>
      <c r="H140" s="5"/>
    </row>
    <row r="141" spans="1:8" ht="15.5">
      <c r="A141" s="8"/>
      <c r="B141" s="9"/>
      <c r="C141" s="3"/>
      <c r="D141" s="22"/>
      <c r="E141" s="4"/>
      <c r="F141" s="4"/>
      <c r="G141" s="5"/>
      <c r="H141" s="5"/>
    </row>
    <row r="142" spans="1:8" ht="15.5">
      <c r="A142" s="8"/>
      <c r="B142" s="9"/>
      <c r="C142" s="3"/>
      <c r="D142" s="22"/>
      <c r="E142" s="4"/>
      <c r="F142" s="4"/>
      <c r="G142" s="5"/>
      <c r="H142" s="5"/>
    </row>
    <row r="143" spans="1:8" ht="15.5">
      <c r="A143" s="8"/>
      <c r="B143" s="9"/>
      <c r="C143" s="3"/>
      <c r="D143" s="22"/>
      <c r="E143" s="4"/>
      <c r="F143" s="4"/>
      <c r="G143" s="5"/>
      <c r="H143" s="5"/>
    </row>
    <row r="144" spans="1:8" ht="15.5">
      <c r="A144" s="8"/>
      <c r="B144" s="9"/>
      <c r="C144" s="3"/>
      <c r="D144" s="22"/>
      <c r="E144" s="4"/>
      <c r="F144" s="4"/>
      <c r="G144" s="5"/>
      <c r="H144" s="5"/>
    </row>
    <row r="145" spans="1:8" ht="15.5">
      <c r="A145" s="8"/>
      <c r="B145" s="9"/>
      <c r="C145" s="3"/>
      <c r="D145" s="22"/>
      <c r="E145" s="4"/>
      <c r="F145" s="4"/>
      <c r="G145" s="5"/>
      <c r="H145" s="5"/>
    </row>
    <row r="146" spans="1:8" ht="15.5">
      <c r="A146" s="8"/>
      <c r="B146" s="9"/>
      <c r="C146" s="3"/>
      <c r="D146" s="22"/>
      <c r="E146" s="4"/>
      <c r="F146" s="4"/>
      <c r="G146" s="5"/>
      <c r="H146" s="5"/>
    </row>
    <row r="147" spans="1:8" ht="15.5">
      <c r="A147" s="8"/>
      <c r="C147" s="18"/>
      <c r="D147" s="22"/>
      <c r="E147" s="4"/>
      <c r="F147" s="4"/>
      <c r="G147" s="5"/>
      <c r="H147" s="5"/>
    </row>
    <row r="148" spans="1:8" ht="15.5">
      <c r="A148" s="8"/>
      <c r="B148" s="9"/>
      <c r="C148" s="3"/>
      <c r="D148" s="22"/>
      <c r="E148" s="4"/>
      <c r="F148" s="4"/>
      <c r="G148" s="5"/>
      <c r="H148" s="5"/>
    </row>
    <row r="149" spans="1:8" ht="15.5">
      <c r="A149" s="8"/>
      <c r="B149" s="9"/>
      <c r="C149" s="3"/>
      <c r="D149" s="22"/>
      <c r="E149" s="4"/>
      <c r="F149" s="4"/>
      <c r="G149" s="5"/>
      <c r="H149" s="5"/>
    </row>
    <row r="150" spans="1:8" ht="15.5">
      <c r="A150" s="8"/>
      <c r="B150" s="9"/>
      <c r="C150" s="3"/>
      <c r="D150" s="22"/>
      <c r="E150" s="4"/>
      <c r="F150" s="4"/>
      <c r="G150" s="5"/>
      <c r="H150" s="5"/>
    </row>
    <row r="151" spans="1:8" ht="15.5">
      <c r="A151" s="8"/>
      <c r="B151" s="9"/>
      <c r="C151" s="3"/>
      <c r="D151" s="22"/>
      <c r="E151" s="4"/>
      <c r="F151" s="4"/>
      <c r="G151" s="5"/>
      <c r="H151" s="5"/>
    </row>
    <row r="152" spans="1:8" ht="15.5">
      <c r="A152" s="8"/>
      <c r="B152" s="9"/>
      <c r="C152" s="3"/>
      <c r="D152" s="22"/>
      <c r="E152" s="4"/>
      <c r="F152" s="4"/>
      <c r="G152" s="5"/>
      <c r="H152" s="5"/>
    </row>
    <row r="153" spans="1:8" ht="15.5">
      <c r="A153" s="8"/>
      <c r="B153" s="9"/>
      <c r="C153" s="3"/>
      <c r="D153" s="22"/>
      <c r="E153" s="4"/>
      <c r="F153" s="4"/>
      <c r="G153" s="5"/>
      <c r="H153" s="5"/>
    </row>
    <row r="154" spans="1:8" ht="15.5">
      <c r="A154" s="8"/>
      <c r="B154" s="9"/>
      <c r="C154" s="3"/>
      <c r="D154" s="22"/>
      <c r="E154" s="4"/>
      <c r="F154" s="4"/>
      <c r="G154" s="5"/>
      <c r="H154" s="5"/>
    </row>
    <row r="155" spans="1:8" ht="15.5">
      <c r="A155" s="8"/>
      <c r="B155" s="9"/>
      <c r="C155" s="3"/>
      <c r="D155" s="22"/>
      <c r="E155" s="4"/>
      <c r="F155" s="4"/>
      <c r="G155" s="5"/>
      <c r="H155" s="5"/>
    </row>
    <row r="156" spans="1:8" ht="15.5">
      <c r="A156" s="8"/>
      <c r="B156" s="9"/>
      <c r="C156" s="3"/>
      <c r="D156" s="22"/>
      <c r="E156" s="4"/>
      <c r="F156" s="4"/>
      <c r="G156" s="5"/>
      <c r="H156" s="5"/>
    </row>
    <row r="157" spans="1:8" ht="15.5">
      <c r="A157" s="8"/>
      <c r="B157" s="9"/>
      <c r="C157" s="3"/>
      <c r="D157" s="22"/>
      <c r="E157" s="4"/>
      <c r="F157" s="4"/>
      <c r="G157" s="5"/>
      <c r="H157" s="5"/>
    </row>
    <row r="158" spans="1:8" ht="15.5">
      <c r="A158" s="8"/>
      <c r="B158" s="9"/>
      <c r="C158" s="3"/>
      <c r="D158" s="22"/>
      <c r="E158" s="4"/>
      <c r="F158" s="4"/>
      <c r="G158" s="5"/>
      <c r="H158" s="5"/>
    </row>
    <row r="159" spans="1:8" ht="15.5">
      <c r="A159" s="8"/>
      <c r="B159" s="9"/>
      <c r="C159" s="3"/>
      <c r="D159" s="22"/>
      <c r="E159" s="4"/>
      <c r="F159" s="4"/>
      <c r="G159" s="5"/>
      <c r="H159" s="5"/>
    </row>
    <row r="160" spans="1:8" ht="15.5">
      <c r="A160" s="8"/>
      <c r="B160" s="9"/>
      <c r="C160" s="3"/>
      <c r="D160" s="22"/>
      <c r="E160" s="4"/>
      <c r="F160" s="4"/>
      <c r="G160" s="5"/>
      <c r="H160" s="5"/>
    </row>
    <row r="161" spans="1:8" ht="15.5">
      <c r="A161" s="8"/>
      <c r="B161" s="9"/>
      <c r="C161" s="3"/>
      <c r="D161" s="22"/>
      <c r="E161" s="17"/>
      <c r="F161" s="4"/>
      <c r="G161" s="5"/>
      <c r="H161" s="5"/>
    </row>
    <row r="162" spans="1:8" ht="15.5">
      <c r="A162" s="13"/>
      <c r="B162" s="12"/>
      <c r="C162" s="3"/>
      <c r="D162" s="22"/>
    </row>
    <row r="163" spans="1:8" ht="15.5">
      <c r="A163" s="8"/>
      <c r="B163" s="9"/>
      <c r="C163" s="3"/>
      <c r="D163" s="22"/>
      <c r="G163" s="2">
        <v>250</v>
      </c>
      <c r="H163" s="11">
        <f>+F163*G163</f>
        <v>0</v>
      </c>
    </row>
    <row r="164" spans="1:8" ht="15.5">
      <c r="A164" s="8"/>
      <c r="B164" s="9"/>
      <c r="C164" s="3"/>
      <c r="D164" s="22"/>
      <c r="G164" s="2">
        <v>250</v>
      </c>
      <c r="H164" s="11">
        <f>+F164*G164</f>
        <v>0</v>
      </c>
    </row>
    <row r="165" spans="1:8" ht="15.5">
      <c r="A165" s="8"/>
      <c r="B165" s="9"/>
      <c r="C165" s="3"/>
      <c r="D165" s="22"/>
    </row>
    <row r="166" spans="1:8" ht="15.5">
      <c r="A166" s="8"/>
      <c r="B166" s="9"/>
      <c r="C166" s="3"/>
      <c r="D166" s="22"/>
    </row>
    <row r="167" spans="1:8" ht="15.5">
      <c r="A167" s="8"/>
      <c r="B167" s="9"/>
      <c r="C167" s="3"/>
      <c r="D167" s="22"/>
    </row>
    <row r="168" spans="1:8" ht="15.5">
      <c r="A168" s="23"/>
      <c r="B168" s="5"/>
      <c r="C168" s="18"/>
      <c r="D168" s="22"/>
    </row>
    <row r="169" spans="1:8" ht="15.5">
      <c r="A169" s="8"/>
      <c r="B169" s="9"/>
      <c r="C169" s="3"/>
      <c r="D169" s="22"/>
      <c r="H169">
        <v>15000</v>
      </c>
    </row>
    <row r="170" spans="1:8" ht="15.5">
      <c r="A170" s="8"/>
      <c r="B170" s="9"/>
      <c r="C170" s="3"/>
      <c r="D170" s="22"/>
    </row>
    <row r="171" spans="1:8" ht="15.5">
      <c r="A171" s="23"/>
      <c r="B171" s="5"/>
      <c r="C171" s="18"/>
      <c r="D171" s="22"/>
    </row>
    <row r="172" spans="1:8" ht="15.5">
      <c r="A172" s="13"/>
      <c r="B172" s="12"/>
      <c r="C172" s="3"/>
      <c r="D172" s="22"/>
    </row>
    <row r="173" spans="1:8" ht="15.5">
      <c r="A173" s="8"/>
      <c r="B173" s="9"/>
      <c r="C173" s="3"/>
      <c r="D173" s="22"/>
    </row>
    <row r="174" spans="1:8" ht="15.5">
      <c r="A174" s="8"/>
      <c r="B174" s="9"/>
      <c r="C174" s="3"/>
      <c r="D174" s="22"/>
    </row>
    <row r="175" spans="1:8" ht="15.5">
      <c r="A175" s="8"/>
      <c r="B175" s="9"/>
      <c r="C175" s="3"/>
      <c r="D175" s="22"/>
    </row>
    <row r="176" spans="1:8" ht="15.5">
      <c r="A176" s="8"/>
      <c r="B176" s="9"/>
      <c r="C176" s="3"/>
      <c r="D176" s="22"/>
    </row>
    <row r="177" spans="1:8" ht="15.5">
      <c r="A177" s="8"/>
      <c r="B177" s="9"/>
      <c r="C177" s="3"/>
      <c r="D177" s="22"/>
    </row>
    <row r="178" spans="1:8" ht="15.5">
      <c r="A178" s="8"/>
      <c r="B178" s="9"/>
      <c r="C178" s="3"/>
      <c r="D178" s="22"/>
      <c r="F178">
        <v>325000</v>
      </c>
      <c r="G178" s="24">
        <v>3.4200000000000001E-2</v>
      </c>
      <c r="H178" s="11">
        <f>+F178*G178</f>
        <v>11115</v>
      </c>
    </row>
    <row r="179" spans="1:8" ht="15.5">
      <c r="A179" s="8"/>
      <c r="B179" s="9"/>
      <c r="C179" s="3"/>
      <c r="D179" s="22"/>
      <c r="F179">
        <v>1325000</v>
      </c>
      <c r="G179" s="25">
        <v>3.4200000000000001E-2</v>
      </c>
      <c r="H179" s="11">
        <f>+F179*G179</f>
        <v>45315</v>
      </c>
    </row>
    <row r="180" spans="1:8" ht="15.5">
      <c r="A180" s="8"/>
      <c r="B180" s="9"/>
      <c r="C180" s="3"/>
      <c r="D180" s="22"/>
    </row>
    <row r="181" spans="1:8" ht="15.5">
      <c r="A181" s="8"/>
      <c r="B181" s="9"/>
      <c r="C181" s="3"/>
      <c r="D181" s="22"/>
    </row>
    <row r="182" spans="1:8" ht="15.5">
      <c r="A182" s="8"/>
      <c r="B182" s="9"/>
      <c r="C182" s="3"/>
      <c r="D182" s="10"/>
      <c r="F182">
        <f>250*5300</f>
        <v>1325000</v>
      </c>
      <c r="H182">
        <f>SUM(H169:H181)</f>
        <v>71430</v>
      </c>
    </row>
    <row r="183" spans="1:8" ht="15.5">
      <c r="A183" s="8"/>
      <c r="B183" s="9"/>
      <c r="C183" s="3"/>
    </row>
    <row r="184" spans="1:8" ht="15.5">
      <c r="A184" s="8"/>
      <c r="B184" s="9"/>
      <c r="C184" s="3"/>
    </row>
    <row r="185" spans="1:8" ht="15.5">
      <c r="A185" s="8"/>
      <c r="B185" s="9"/>
      <c r="C185" s="3"/>
    </row>
    <row r="186" spans="1:8" ht="15.5">
      <c r="A186" s="8"/>
      <c r="B186" s="9"/>
      <c r="C186" s="3"/>
    </row>
    <row r="187" spans="1:8" ht="15.5">
      <c r="A187" s="8"/>
      <c r="B187" s="9"/>
      <c r="C187" s="3"/>
    </row>
    <row r="188" spans="1:8" ht="15.5">
      <c r="A188" s="8"/>
      <c r="B188" s="9"/>
      <c r="C188" s="3"/>
    </row>
    <row r="189" spans="1:8" ht="15.5">
      <c r="A189" s="8"/>
      <c r="B189" s="9"/>
      <c r="C189" s="3"/>
    </row>
    <row r="190" spans="1:8" ht="15.5">
      <c r="A190" s="8"/>
      <c r="B190" s="9"/>
      <c r="C190" s="3"/>
    </row>
    <row r="191" spans="1:8" ht="15.5">
      <c r="A191" s="8"/>
      <c r="B191" s="9"/>
      <c r="C191" s="3"/>
    </row>
    <row r="192" spans="1:8" ht="15.5">
      <c r="A192" s="8"/>
      <c r="B192" s="9"/>
      <c r="C192" s="3"/>
    </row>
    <row r="193" spans="1:3" ht="15.5">
      <c r="A193" s="8"/>
      <c r="B193" s="9"/>
      <c r="C193" s="3"/>
    </row>
    <row r="194" spans="1:3" ht="15.5">
      <c r="A194" s="8"/>
      <c r="B194" s="9"/>
      <c r="C194" s="3"/>
    </row>
    <row r="195" spans="1:3" ht="15.5">
      <c r="A195" s="8"/>
      <c r="B195" s="12"/>
      <c r="C195" s="14"/>
    </row>
    <row r="196" spans="1:3">
      <c r="A196" s="13"/>
      <c r="C196" s="16"/>
    </row>
    <row r="197" spans="1:3">
      <c r="A197" s="13"/>
      <c r="B197" s="12"/>
      <c r="C197" s="14"/>
    </row>
    <row r="198" spans="1:3">
      <c r="A198" s="13"/>
      <c r="B198" s="12"/>
      <c r="C198" s="14"/>
    </row>
    <row r="199" spans="1:3">
      <c r="A199" s="13"/>
      <c r="B199" s="12"/>
      <c r="C199" s="14"/>
    </row>
    <row r="200" spans="1:3">
      <c r="A200" s="13"/>
      <c r="B200" s="12"/>
      <c r="C200" s="14"/>
    </row>
    <row r="201" spans="1:3">
      <c r="A201" s="13"/>
      <c r="B201" s="12"/>
      <c r="C201" s="14"/>
    </row>
    <row r="202" spans="1:3" ht="15.5">
      <c r="A202" s="8"/>
      <c r="B202" s="9"/>
      <c r="C202" s="3"/>
    </row>
    <row r="203" spans="1:3" ht="15.5">
      <c r="A203" s="8"/>
      <c r="B203" s="9"/>
      <c r="C203" s="3"/>
    </row>
    <row r="204" spans="1:3" ht="15.5">
      <c r="A204" s="8"/>
      <c r="B204" s="9"/>
      <c r="C204" s="3"/>
    </row>
    <row r="205" spans="1:3" ht="15.5">
      <c r="A205" s="8"/>
      <c r="B205" s="9"/>
      <c r="C205" s="3"/>
    </row>
  </sheetData>
  <mergeCells count="2">
    <mergeCell ref="A1:C1"/>
    <mergeCell ref="G2:H2"/>
  </mergeCells>
  <pageMargins left="0.7" right="0.7" top="0.75" bottom="0.75" header="0.511811023622047" footer="0.511811023622047"/>
  <pageSetup orientation="portrait" horizontalDpi="300" verticalDpi="30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5"/>
  <sheetViews>
    <sheetView topLeftCell="A31" zoomScaleNormal="100" workbookViewId="0">
      <selection activeCell="A50" sqref="A50"/>
    </sheetView>
  </sheetViews>
  <sheetFormatPr baseColWidth="10" defaultColWidth="8.7265625" defaultRowHeight="14.5"/>
  <cols>
    <col min="1" max="1" width="7.54296875" customWidth="1"/>
    <col min="2" max="2" width="12.54296875" style="2" customWidth="1"/>
    <col min="3" max="3" width="25.1796875" customWidth="1"/>
    <col min="4" max="4" width="11.81640625" customWidth="1"/>
    <col min="5" max="5" width="11.453125" customWidth="1"/>
    <col min="6" max="6" width="30.453125" customWidth="1"/>
    <col min="7" max="7" width="25.81640625" style="2" customWidth="1"/>
    <col min="8" max="8" width="15.1796875" customWidth="1"/>
    <col min="9" max="9" width="11.1796875" style="2" customWidth="1"/>
    <col min="10" max="10" width="14.81640625" customWidth="1"/>
  </cols>
  <sheetData>
    <row r="1" spans="1:8" ht="15.5">
      <c r="A1" s="209" t="s">
        <v>0</v>
      </c>
      <c r="B1" s="209"/>
      <c r="C1" s="209"/>
      <c r="D1" s="3"/>
      <c r="E1" s="4"/>
      <c r="F1" s="4"/>
      <c r="G1" s="5"/>
      <c r="H1" s="5"/>
    </row>
    <row r="2" spans="1:8" ht="15.5">
      <c r="A2" s="6" t="s">
        <v>1</v>
      </c>
      <c r="B2" s="7" t="s">
        <v>2</v>
      </c>
      <c r="C2" s="6" t="s">
        <v>3</v>
      </c>
      <c r="D2" s="3"/>
      <c r="E2" s="4"/>
      <c r="F2" s="4"/>
      <c r="G2" s="210" t="s">
        <v>4</v>
      </c>
      <c r="H2" s="210"/>
    </row>
    <row r="3" spans="1:8" ht="15.5">
      <c r="A3" s="8">
        <v>45200</v>
      </c>
      <c r="B3" s="9">
        <v>29431</v>
      </c>
      <c r="C3" s="3" t="s">
        <v>239</v>
      </c>
      <c r="D3" s="3"/>
      <c r="E3" s="4"/>
      <c r="F3" s="4"/>
      <c r="G3" s="9" t="s">
        <v>6</v>
      </c>
      <c r="H3" s="9">
        <v>20000</v>
      </c>
    </row>
    <row r="4" spans="1:8" ht="15.5">
      <c r="A4" s="8">
        <v>45200</v>
      </c>
      <c r="B4" s="2">
        <v>350</v>
      </c>
      <c r="C4" t="s">
        <v>240</v>
      </c>
      <c r="E4" s="4"/>
      <c r="F4" s="4"/>
      <c r="G4" s="9" t="s">
        <v>7</v>
      </c>
      <c r="H4" s="9">
        <v>30000</v>
      </c>
    </row>
    <row r="5" spans="1:8" ht="15.5">
      <c r="A5" s="8">
        <v>45200</v>
      </c>
      <c r="B5" s="9">
        <v>1147</v>
      </c>
      <c r="C5" s="3" t="s">
        <v>241</v>
      </c>
      <c r="D5" s="3"/>
      <c r="E5" s="4"/>
      <c r="F5" s="4"/>
      <c r="G5" s="9" t="s">
        <v>9</v>
      </c>
      <c r="H5" s="9">
        <v>40000</v>
      </c>
    </row>
    <row r="6" spans="1:8" ht="15.5">
      <c r="A6" s="8">
        <v>45200</v>
      </c>
      <c r="B6" s="9">
        <v>150</v>
      </c>
      <c r="C6" s="3" t="s">
        <v>242</v>
      </c>
      <c r="D6" s="3"/>
      <c r="E6" s="4"/>
      <c r="F6" s="4"/>
      <c r="G6" s="9" t="s">
        <v>11</v>
      </c>
      <c r="H6" s="9">
        <v>5000</v>
      </c>
    </row>
    <row r="7" spans="1:8" ht="15.5">
      <c r="A7" s="8">
        <v>45200</v>
      </c>
      <c r="B7" s="9">
        <v>85000</v>
      </c>
      <c r="C7" s="3" t="s">
        <v>243</v>
      </c>
      <c r="D7" s="3"/>
      <c r="E7" s="4"/>
      <c r="F7" s="4"/>
      <c r="G7" s="9"/>
      <c r="H7" s="9"/>
    </row>
    <row r="8" spans="1:8" ht="15.5">
      <c r="A8" s="8">
        <v>45200</v>
      </c>
      <c r="B8" s="9">
        <v>45000</v>
      </c>
      <c r="C8" s="3" t="s">
        <v>244</v>
      </c>
      <c r="D8" s="10">
        <f>+B8+B7</f>
        <v>130000</v>
      </c>
      <c r="E8" s="4"/>
      <c r="F8" s="4"/>
      <c r="G8" s="9" t="s">
        <v>13</v>
      </c>
      <c r="H8" s="9">
        <v>3000</v>
      </c>
    </row>
    <row r="9" spans="1:8" ht="15.5">
      <c r="A9" s="8">
        <v>45203</v>
      </c>
      <c r="B9" s="12">
        <v>-15000</v>
      </c>
      <c r="C9" s="14" t="s">
        <v>333</v>
      </c>
      <c r="D9" s="22">
        <f t="shared" ref="D9:D40" si="0">+D8+B9</f>
        <v>115000</v>
      </c>
      <c r="E9" s="4">
        <v>105000</v>
      </c>
      <c r="F9" s="4" t="s">
        <v>104</v>
      </c>
      <c r="G9" s="9" t="s">
        <v>15</v>
      </c>
      <c r="H9" s="9">
        <v>5000</v>
      </c>
    </row>
    <row r="10" spans="1:8" ht="15.5">
      <c r="A10" s="8">
        <v>45205</v>
      </c>
      <c r="B10" s="12">
        <v>-600</v>
      </c>
      <c r="C10" s="14" t="s">
        <v>334</v>
      </c>
      <c r="D10" s="22">
        <f t="shared" si="0"/>
        <v>114400</v>
      </c>
      <c r="E10" s="4">
        <v>12000</v>
      </c>
      <c r="F10" s="4" t="s">
        <v>106</v>
      </c>
      <c r="G10" s="9" t="s">
        <v>18</v>
      </c>
      <c r="H10" s="9">
        <v>1500</v>
      </c>
    </row>
    <row r="11" spans="1:8" ht="15.5">
      <c r="A11" s="8">
        <v>45205</v>
      </c>
      <c r="B11" s="9">
        <v>-500</v>
      </c>
      <c r="C11" s="3" t="s">
        <v>335</v>
      </c>
      <c r="D11" s="22">
        <f t="shared" si="0"/>
        <v>113900</v>
      </c>
      <c r="E11" s="4">
        <v>8000</v>
      </c>
      <c r="F11" s="4" t="s">
        <v>106</v>
      </c>
      <c r="G11" s="9" t="s">
        <v>19</v>
      </c>
      <c r="H11" s="9">
        <v>10000</v>
      </c>
    </row>
    <row r="12" spans="1:8" ht="15.5">
      <c r="A12" s="8">
        <v>45205</v>
      </c>
      <c r="B12" s="2">
        <v>-1700</v>
      </c>
      <c r="C12" s="16" t="s">
        <v>336</v>
      </c>
      <c r="D12" s="22">
        <f t="shared" si="0"/>
        <v>112200</v>
      </c>
      <c r="E12" s="4">
        <v>15000</v>
      </c>
      <c r="F12" s="4" t="s">
        <v>34</v>
      </c>
      <c r="G12" s="9" t="s">
        <v>21</v>
      </c>
      <c r="H12" s="9">
        <v>1500</v>
      </c>
    </row>
    <row r="13" spans="1:8" ht="15.5">
      <c r="A13" s="8">
        <v>45206</v>
      </c>
      <c r="B13" s="12">
        <v>-3265</v>
      </c>
      <c r="C13" s="14" t="s">
        <v>6</v>
      </c>
      <c r="D13" s="22">
        <f t="shared" si="0"/>
        <v>108935</v>
      </c>
      <c r="E13" s="4"/>
      <c r="F13" s="4"/>
      <c r="G13" s="9" t="s">
        <v>23</v>
      </c>
      <c r="H13" s="9">
        <v>25000</v>
      </c>
    </row>
    <row r="14" spans="1:8" ht="15.5">
      <c r="A14" s="8">
        <v>45201</v>
      </c>
      <c r="B14" s="12">
        <v>-700</v>
      </c>
      <c r="C14" s="14" t="s">
        <v>337</v>
      </c>
      <c r="D14" s="22">
        <f t="shared" si="0"/>
        <v>108235</v>
      </c>
      <c r="E14" s="4"/>
      <c r="F14" s="4"/>
      <c r="G14" s="9" t="s">
        <v>25</v>
      </c>
      <c r="H14" s="9">
        <v>1500</v>
      </c>
    </row>
    <row r="15" spans="1:8" ht="15.5">
      <c r="A15" s="8">
        <v>45205</v>
      </c>
      <c r="B15" s="9">
        <v>-1424</v>
      </c>
      <c r="C15" s="3" t="s">
        <v>38</v>
      </c>
      <c r="D15" s="22">
        <f t="shared" si="0"/>
        <v>106811</v>
      </c>
      <c r="E15" s="4"/>
      <c r="F15" s="4"/>
      <c r="G15" s="9"/>
      <c r="H15" s="9"/>
    </row>
    <row r="16" spans="1:8" ht="15.5">
      <c r="A16" s="8">
        <v>45209</v>
      </c>
      <c r="B16" s="9">
        <v>-8000</v>
      </c>
      <c r="C16" s="3" t="s">
        <v>236</v>
      </c>
      <c r="D16" s="22">
        <f t="shared" si="0"/>
        <v>98811</v>
      </c>
      <c r="E16" s="4">
        <f>SUM(E9:E15)</f>
        <v>140000</v>
      </c>
      <c r="F16" s="4"/>
      <c r="G16" s="9"/>
      <c r="H16" s="9"/>
    </row>
    <row r="17" spans="1:8" ht="15.5">
      <c r="A17" s="8">
        <v>45211</v>
      </c>
      <c r="B17" s="9">
        <v>-19200</v>
      </c>
      <c r="C17" s="3" t="s">
        <v>236</v>
      </c>
      <c r="D17" s="22">
        <f t="shared" si="0"/>
        <v>79611</v>
      </c>
      <c r="E17" s="4"/>
      <c r="F17" s="4"/>
      <c r="G17" s="15" t="s">
        <v>27</v>
      </c>
      <c r="H17" s="15">
        <f>SUM(H3:H15)</f>
        <v>142500</v>
      </c>
    </row>
    <row r="18" spans="1:8" ht="15.5">
      <c r="A18" s="8">
        <v>45215</v>
      </c>
      <c r="B18" s="9">
        <v>-11700</v>
      </c>
      <c r="C18" s="3" t="s">
        <v>236</v>
      </c>
      <c r="D18" s="22">
        <f t="shared" si="0"/>
        <v>67911</v>
      </c>
      <c r="E18" s="4"/>
      <c r="F18" s="4"/>
      <c r="G18" s="5" t="s">
        <v>29</v>
      </c>
      <c r="H18" s="5">
        <f>+H17/54</f>
        <v>2638.8888888888887</v>
      </c>
    </row>
    <row r="19" spans="1:8" ht="15.5">
      <c r="A19" s="8">
        <v>45209</v>
      </c>
      <c r="B19" s="9">
        <v>-2000</v>
      </c>
      <c r="C19" s="3" t="s">
        <v>338</v>
      </c>
      <c r="D19" s="22">
        <f t="shared" si="0"/>
        <v>65911</v>
      </c>
      <c r="E19" s="4"/>
      <c r="F19" s="4"/>
      <c r="G19" s="5"/>
      <c r="H19" s="5"/>
    </row>
    <row r="20" spans="1:8" ht="15.5">
      <c r="A20" s="8">
        <v>45209</v>
      </c>
      <c r="B20" s="9">
        <v>-1000</v>
      </c>
      <c r="C20" s="3" t="s">
        <v>339</v>
      </c>
      <c r="D20" s="22">
        <f t="shared" si="0"/>
        <v>64911</v>
      </c>
      <c r="E20" s="4"/>
      <c r="F20" s="4"/>
      <c r="G20" s="5"/>
      <c r="H20" s="5"/>
    </row>
    <row r="21" spans="1:8" ht="15.5">
      <c r="A21" s="8">
        <v>45215</v>
      </c>
      <c r="B21" s="2">
        <v>-45000</v>
      </c>
      <c r="C21" s="18" t="s">
        <v>340</v>
      </c>
      <c r="D21" s="22">
        <f t="shared" si="0"/>
        <v>19911</v>
      </c>
      <c r="E21" s="4"/>
      <c r="F21" s="4"/>
      <c r="G21" s="5" t="s">
        <v>77</v>
      </c>
      <c r="H21" s="5"/>
    </row>
    <row r="22" spans="1:8" ht="15.5">
      <c r="A22" s="8">
        <v>45211</v>
      </c>
      <c r="B22" s="9">
        <v>-3000</v>
      </c>
      <c r="C22" s="3" t="s">
        <v>341</v>
      </c>
      <c r="D22" s="22">
        <f t="shared" si="0"/>
        <v>16911</v>
      </c>
      <c r="E22" s="4"/>
      <c r="F22" s="4"/>
      <c r="G22" s="5" t="s">
        <v>78</v>
      </c>
      <c r="H22" s="5">
        <f>1100*55</f>
        <v>60500</v>
      </c>
    </row>
    <row r="23" spans="1:8" ht="15.5">
      <c r="A23" s="8">
        <v>45215</v>
      </c>
      <c r="B23" s="9">
        <v>-1755</v>
      </c>
      <c r="C23" s="3" t="s">
        <v>342</v>
      </c>
      <c r="D23" s="22">
        <f t="shared" si="0"/>
        <v>15156</v>
      </c>
      <c r="E23" s="4"/>
      <c r="F23" s="4"/>
      <c r="G23" s="5" t="s">
        <v>79</v>
      </c>
      <c r="H23" s="5">
        <v>27000</v>
      </c>
    </row>
    <row r="24" spans="1:8" ht="15.5">
      <c r="A24" s="8">
        <v>45215</v>
      </c>
      <c r="B24" s="9">
        <v>-1213</v>
      </c>
      <c r="C24" s="3" t="s">
        <v>343</v>
      </c>
      <c r="D24" s="22">
        <f t="shared" si="0"/>
        <v>13943</v>
      </c>
      <c r="E24" s="4"/>
      <c r="F24" s="4"/>
      <c r="G24" s="5"/>
      <c r="H24" s="5"/>
    </row>
    <row r="25" spans="1:8" ht="15.5">
      <c r="A25" s="8">
        <v>45215</v>
      </c>
      <c r="B25" s="9">
        <v>-2630</v>
      </c>
      <c r="C25" s="3" t="s">
        <v>37</v>
      </c>
      <c r="D25" s="22">
        <f t="shared" si="0"/>
        <v>11313</v>
      </c>
      <c r="E25" s="4"/>
      <c r="F25" s="4"/>
      <c r="G25" s="5" t="s">
        <v>27</v>
      </c>
      <c r="H25" s="17">
        <f>SUM(H22:H24)</f>
        <v>87500</v>
      </c>
    </row>
    <row r="26" spans="1:8" ht="15.5">
      <c r="A26" s="8">
        <v>45211</v>
      </c>
      <c r="B26" s="9">
        <v>-256</v>
      </c>
      <c r="C26" s="3" t="s">
        <v>37</v>
      </c>
      <c r="D26" s="22">
        <f t="shared" si="0"/>
        <v>11057</v>
      </c>
      <c r="E26" s="4"/>
      <c r="F26" s="4"/>
      <c r="G26" s="5"/>
      <c r="H26" s="4"/>
    </row>
    <row r="27" spans="1:8" ht="15.5">
      <c r="A27" s="8">
        <v>45211</v>
      </c>
      <c r="B27" s="9">
        <v>-4000</v>
      </c>
      <c r="C27" s="3" t="s">
        <v>344</v>
      </c>
      <c r="D27" s="22">
        <f t="shared" si="0"/>
        <v>7057</v>
      </c>
      <c r="E27" s="4"/>
      <c r="F27" s="4"/>
      <c r="G27" s="5"/>
      <c r="H27" s="4"/>
    </row>
    <row r="28" spans="1:8" ht="15.5">
      <c r="A28" s="8">
        <v>45208</v>
      </c>
      <c r="B28" s="9">
        <v>-5459</v>
      </c>
      <c r="C28" s="3" t="s">
        <v>37</v>
      </c>
      <c r="D28" s="22">
        <f t="shared" si="0"/>
        <v>1598</v>
      </c>
      <c r="E28" s="4"/>
      <c r="F28" s="4" t="s">
        <v>80</v>
      </c>
      <c r="G28" s="5"/>
      <c r="H28" s="4"/>
    </row>
    <row r="29" spans="1:8" ht="15.5">
      <c r="A29" s="20">
        <v>45219</v>
      </c>
      <c r="B29" s="2">
        <v>-3100</v>
      </c>
      <c r="C29" s="18" t="s">
        <v>345</v>
      </c>
      <c r="D29" s="22">
        <f t="shared" si="0"/>
        <v>-1502</v>
      </c>
      <c r="E29" s="4"/>
      <c r="F29" s="4" t="s">
        <v>81</v>
      </c>
      <c r="G29" s="5">
        <f>4700*56</f>
        <v>263200</v>
      </c>
      <c r="H29" s="5"/>
    </row>
    <row r="30" spans="1:8" ht="15.5">
      <c r="A30" s="20">
        <v>45219</v>
      </c>
      <c r="B30" s="2">
        <v>-725</v>
      </c>
      <c r="C30" s="18" t="s">
        <v>19</v>
      </c>
      <c r="D30" s="22">
        <f t="shared" si="0"/>
        <v>-2227</v>
      </c>
      <c r="E30" s="4"/>
      <c r="F30" s="4" t="s">
        <v>82</v>
      </c>
      <c r="G30" s="5">
        <v>10000</v>
      </c>
      <c r="H30" s="5"/>
    </row>
    <row r="31" spans="1:8" ht="15.5">
      <c r="A31" s="8">
        <v>45220</v>
      </c>
      <c r="B31" s="9">
        <v>-2000</v>
      </c>
      <c r="C31" s="3" t="s">
        <v>31</v>
      </c>
      <c r="D31" s="22">
        <f t="shared" si="0"/>
        <v>-4227</v>
      </c>
      <c r="E31" s="4"/>
      <c r="F31" s="4" t="s">
        <v>83</v>
      </c>
      <c r="G31" s="5">
        <v>25000</v>
      </c>
      <c r="H31" s="5"/>
    </row>
    <row r="32" spans="1:8" ht="15.5">
      <c r="A32" s="8">
        <v>45219</v>
      </c>
      <c r="B32" s="9">
        <v>-1300</v>
      </c>
      <c r="C32" s="3" t="s">
        <v>346</v>
      </c>
      <c r="D32" s="22">
        <f t="shared" si="0"/>
        <v>-5527</v>
      </c>
      <c r="E32" s="4"/>
      <c r="F32" s="17" t="s">
        <v>84</v>
      </c>
      <c r="G32" s="5">
        <v>35000</v>
      </c>
      <c r="H32" s="5"/>
    </row>
    <row r="33" spans="1:8" ht="15.5">
      <c r="A33" s="8">
        <v>45219</v>
      </c>
      <c r="B33" s="9">
        <v>-900</v>
      </c>
      <c r="C33" s="3" t="s">
        <v>347</v>
      </c>
      <c r="D33" s="22">
        <f t="shared" si="0"/>
        <v>-6427</v>
      </c>
      <c r="E33" s="4"/>
      <c r="F33" s="4" t="s">
        <v>85</v>
      </c>
      <c r="G33" s="5">
        <v>9000</v>
      </c>
      <c r="H33" s="5"/>
    </row>
    <row r="34" spans="1:8" ht="15.5">
      <c r="A34" s="8">
        <v>45219</v>
      </c>
      <c r="B34" s="9">
        <v>-6000</v>
      </c>
      <c r="C34" s="3" t="s">
        <v>348</v>
      </c>
      <c r="D34" s="22">
        <f t="shared" si="0"/>
        <v>-12427</v>
      </c>
      <c r="E34" s="4"/>
      <c r="F34" s="4" t="s">
        <v>86</v>
      </c>
      <c r="G34" s="5">
        <v>9000</v>
      </c>
      <c r="H34" s="5"/>
    </row>
    <row r="35" spans="1:8" ht="15.5">
      <c r="A35" s="8">
        <v>45221</v>
      </c>
      <c r="B35" s="9">
        <v>-985</v>
      </c>
      <c r="C35" s="3" t="s">
        <v>349</v>
      </c>
      <c r="D35" s="22">
        <f t="shared" si="0"/>
        <v>-13412</v>
      </c>
      <c r="E35" s="4"/>
      <c r="F35" s="4"/>
      <c r="G35" s="5"/>
      <c r="H35" s="5"/>
    </row>
    <row r="36" spans="1:8" ht="15.5">
      <c r="A36" s="8">
        <v>45224</v>
      </c>
      <c r="B36" s="9">
        <v>-2732</v>
      </c>
      <c r="C36" s="3" t="s">
        <v>6</v>
      </c>
      <c r="D36" s="22">
        <f t="shared" si="0"/>
        <v>-16144</v>
      </c>
      <c r="E36" s="4"/>
      <c r="F36" s="4"/>
      <c r="G36" s="5"/>
      <c r="H36" s="5"/>
    </row>
    <row r="37" spans="1:8" ht="15.5">
      <c r="A37" s="8">
        <v>45224</v>
      </c>
      <c r="B37" s="9">
        <v>-250</v>
      </c>
      <c r="C37" s="3" t="s">
        <v>19</v>
      </c>
      <c r="D37" s="22">
        <f t="shared" si="0"/>
        <v>-16394</v>
      </c>
      <c r="E37" s="4"/>
      <c r="F37" s="4"/>
      <c r="G37" s="5"/>
      <c r="H37" s="5"/>
    </row>
    <row r="38" spans="1:8" ht="15.5">
      <c r="A38" s="8">
        <v>45224</v>
      </c>
      <c r="B38" s="9">
        <v>-4755</v>
      </c>
      <c r="C38" s="3" t="s">
        <v>254</v>
      </c>
      <c r="D38" s="22">
        <f t="shared" si="0"/>
        <v>-21149</v>
      </c>
      <c r="E38" s="4"/>
      <c r="F38" s="4"/>
      <c r="G38" s="5"/>
      <c r="H38" s="5"/>
    </row>
    <row r="39" spans="1:8" ht="15.5">
      <c r="A39" s="8">
        <v>45222</v>
      </c>
      <c r="B39" s="9">
        <v>-1122</v>
      </c>
      <c r="C39" s="3" t="s">
        <v>37</v>
      </c>
      <c r="D39" s="22">
        <f t="shared" si="0"/>
        <v>-22271</v>
      </c>
      <c r="E39" s="4"/>
      <c r="F39" s="4"/>
      <c r="G39" s="5"/>
      <c r="H39" s="5"/>
    </row>
    <row r="40" spans="1:8" ht="15.5">
      <c r="A40" s="8">
        <v>45224</v>
      </c>
      <c r="B40" s="9">
        <v>-700</v>
      </c>
      <c r="C40" s="3" t="s">
        <v>350</v>
      </c>
      <c r="D40" s="22">
        <f t="shared" si="0"/>
        <v>-22971</v>
      </c>
      <c r="E40" s="4"/>
      <c r="F40" s="4"/>
      <c r="G40" s="5"/>
      <c r="H40" s="5"/>
    </row>
    <row r="41" spans="1:8" ht="15.5">
      <c r="A41" s="8">
        <v>45224</v>
      </c>
      <c r="B41" s="9">
        <v>-800</v>
      </c>
      <c r="C41" s="3" t="s">
        <v>37</v>
      </c>
      <c r="D41" s="22">
        <f t="shared" ref="D41:D57" si="1">+D40+B41</f>
        <v>-23771</v>
      </c>
      <c r="E41" s="4"/>
      <c r="F41" s="4"/>
      <c r="G41" s="5"/>
      <c r="H41" s="5"/>
    </row>
    <row r="42" spans="1:8" ht="15.5">
      <c r="A42" s="8">
        <v>45224</v>
      </c>
      <c r="B42" s="9">
        <v>-2300</v>
      </c>
      <c r="C42" s="3" t="s">
        <v>351</v>
      </c>
      <c r="D42" s="22">
        <f t="shared" si="1"/>
        <v>-26071</v>
      </c>
      <c r="E42" s="4"/>
      <c r="F42" s="4"/>
      <c r="G42" s="5"/>
      <c r="H42" s="5"/>
    </row>
    <row r="43" spans="1:8" ht="15.5">
      <c r="A43" s="8">
        <v>45224</v>
      </c>
      <c r="B43" s="9">
        <v>-750</v>
      </c>
      <c r="C43" s="3" t="s">
        <v>352</v>
      </c>
      <c r="D43" s="22">
        <f t="shared" si="1"/>
        <v>-26821</v>
      </c>
      <c r="E43" s="4"/>
      <c r="F43" s="4"/>
      <c r="G43" s="5"/>
      <c r="H43" s="5"/>
    </row>
    <row r="44" spans="1:8" ht="15.5">
      <c r="A44" s="8">
        <v>45230</v>
      </c>
      <c r="B44" s="9">
        <v>-1000</v>
      </c>
      <c r="C44" s="3" t="s">
        <v>353</v>
      </c>
      <c r="D44" s="22">
        <f t="shared" si="1"/>
        <v>-27821</v>
      </c>
      <c r="E44" s="4"/>
      <c r="F44" s="4"/>
      <c r="G44" s="5"/>
      <c r="H44" s="5"/>
    </row>
    <row r="45" spans="1:8" ht="15.5">
      <c r="A45" s="8">
        <v>45230</v>
      </c>
      <c r="B45" s="9">
        <v>-350</v>
      </c>
      <c r="C45" s="3" t="s">
        <v>354</v>
      </c>
      <c r="D45" s="22">
        <f t="shared" si="1"/>
        <v>-28171</v>
      </c>
      <c r="E45" s="4"/>
      <c r="F45" s="4"/>
      <c r="G45" s="5"/>
      <c r="H45" s="5"/>
    </row>
    <row r="46" spans="1:8" ht="15.5">
      <c r="A46" s="8">
        <v>45228</v>
      </c>
      <c r="B46" s="9">
        <v>-3000</v>
      </c>
      <c r="C46" s="3" t="s">
        <v>355</v>
      </c>
      <c r="D46" s="22">
        <f t="shared" si="1"/>
        <v>-31171</v>
      </c>
      <c r="E46" s="4"/>
      <c r="F46" s="4"/>
      <c r="G46" s="5"/>
      <c r="H46" s="5"/>
    </row>
    <row r="47" spans="1:8" ht="15.5">
      <c r="A47" s="8">
        <v>45227</v>
      </c>
      <c r="B47" s="9">
        <v>-1500</v>
      </c>
      <c r="C47" s="3" t="s">
        <v>356</v>
      </c>
      <c r="D47" s="22">
        <f t="shared" si="1"/>
        <v>-32671</v>
      </c>
      <c r="E47" s="4"/>
      <c r="F47" s="4"/>
      <c r="G47" s="5"/>
      <c r="H47" s="5"/>
    </row>
    <row r="48" spans="1:8" ht="15.5">
      <c r="A48" s="8">
        <v>45225</v>
      </c>
      <c r="B48" s="9">
        <v>-2649</v>
      </c>
      <c r="C48" s="3" t="s">
        <v>37</v>
      </c>
      <c r="D48" s="22">
        <f t="shared" si="1"/>
        <v>-35320</v>
      </c>
      <c r="E48" s="4"/>
      <c r="F48" s="4"/>
      <c r="G48" s="5"/>
      <c r="H48" s="5"/>
    </row>
    <row r="49" spans="1:8" ht="15.5">
      <c r="A49" s="8">
        <v>45225</v>
      </c>
      <c r="B49" s="9">
        <v>-1329</v>
      </c>
      <c r="C49" s="3" t="s">
        <v>32</v>
      </c>
      <c r="D49" s="22">
        <f t="shared" si="1"/>
        <v>-36649</v>
      </c>
      <c r="E49" s="4"/>
      <c r="F49" s="4"/>
      <c r="G49" s="5"/>
      <c r="H49" s="5"/>
    </row>
    <row r="50" spans="1:8" ht="15.5">
      <c r="A50" s="8">
        <v>45230</v>
      </c>
      <c r="B50" s="9">
        <v>-4755</v>
      </c>
      <c r="C50" s="3" t="s">
        <v>357</v>
      </c>
      <c r="D50" s="22">
        <f t="shared" si="1"/>
        <v>-41404</v>
      </c>
      <c r="E50" s="4"/>
      <c r="F50" s="4"/>
      <c r="G50" s="5"/>
      <c r="H50" s="5"/>
    </row>
    <row r="51" spans="1:8" ht="15.5">
      <c r="A51" s="8"/>
      <c r="B51" s="9"/>
      <c r="C51" s="3"/>
      <c r="D51" s="22">
        <f t="shared" si="1"/>
        <v>-41404</v>
      </c>
      <c r="E51" s="4"/>
      <c r="F51" s="4"/>
      <c r="G51" s="5"/>
      <c r="H51" s="5"/>
    </row>
    <row r="52" spans="1:8" ht="15.5">
      <c r="A52" s="8"/>
      <c r="B52" s="9"/>
      <c r="C52" s="3"/>
      <c r="D52" s="22">
        <f t="shared" si="1"/>
        <v>-41404</v>
      </c>
      <c r="E52" s="4"/>
      <c r="F52" s="4"/>
      <c r="G52" s="5"/>
      <c r="H52" s="5"/>
    </row>
    <row r="53" spans="1:8" ht="15.5">
      <c r="A53" s="8"/>
      <c r="B53" s="9"/>
      <c r="C53" s="3"/>
      <c r="D53" s="22">
        <f t="shared" si="1"/>
        <v>-41404</v>
      </c>
      <c r="E53" s="4"/>
      <c r="F53" s="4"/>
      <c r="G53" s="5"/>
      <c r="H53" s="5"/>
    </row>
    <row r="54" spans="1:8" ht="15.5">
      <c r="A54" s="8"/>
      <c r="B54" s="9">
        <f>SUM(B9:B53)</f>
        <v>-171404</v>
      </c>
      <c r="C54" s="3"/>
      <c r="D54" s="22">
        <f t="shared" si="1"/>
        <v>-212808</v>
      </c>
      <c r="E54" s="4"/>
      <c r="F54" s="79"/>
      <c r="G54" s="5"/>
      <c r="H54" s="5"/>
    </row>
    <row r="55" spans="1:8" ht="15.5">
      <c r="A55" s="8"/>
      <c r="B55" s="9"/>
      <c r="C55" s="3"/>
      <c r="D55" s="22">
        <f t="shared" si="1"/>
        <v>-212808</v>
      </c>
      <c r="E55" s="4"/>
      <c r="F55" s="4"/>
      <c r="G55" s="5"/>
      <c r="H55" s="5"/>
    </row>
    <row r="56" spans="1:8" ht="15.5">
      <c r="A56" s="8"/>
      <c r="B56" s="9"/>
      <c r="C56" s="3"/>
      <c r="D56" s="22">
        <f t="shared" si="1"/>
        <v>-212808</v>
      </c>
      <c r="E56" s="4"/>
      <c r="F56" s="4"/>
      <c r="G56" s="5"/>
      <c r="H56" s="5"/>
    </row>
    <row r="57" spans="1:8" ht="15.5">
      <c r="A57" s="8"/>
      <c r="B57" s="9"/>
      <c r="C57" s="3"/>
      <c r="D57" s="22">
        <f t="shared" si="1"/>
        <v>-212808</v>
      </c>
      <c r="E57" s="4"/>
      <c r="F57" s="4"/>
      <c r="G57" s="5"/>
      <c r="H57" s="5"/>
    </row>
    <row r="58" spans="1:8" ht="15.5">
      <c r="A58" s="8"/>
      <c r="B58" s="9"/>
      <c r="C58" s="3"/>
      <c r="D58" s="22"/>
      <c r="E58" s="4"/>
      <c r="F58" s="4"/>
      <c r="G58" s="5"/>
      <c r="H58" s="5"/>
    </row>
    <row r="59" spans="1:8" ht="15.5">
      <c r="A59" s="8"/>
      <c r="B59" s="9"/>
      <c r="C59" s="3"/>
      <c r="D59" s="22"/>
      <c r="E59" s="4"/>
      <c r="F59" s="4"/>
      <c r="G59" s="5"/>
      <c r="H59" s="5"/>
    </row>
    <row r="60" spans="1:8" ht="15.5">
      <c r="A60" s="8"/>
      <c r="B60" s="9"/>
      <c r="C60" s="3"/>
      <c r="D60" s="22"/>
      <c r="E60" s="4"/>
      <c r="F60" s="4"/>
      <c r="G60" s="5"/>
      <c r="H60" s="5"/>
    </row>
    <row r="61" spans="1:8" ht="15.5">
      <c r="A61" s="8"/>
      <c r="B61" s="9"/>
      <c r="C61" s="3"/>
      <c r="D61" s="22"/>
      <c r="E61" s="4"/>
      <c r="F61" s="4"/>
      <c r="G61" s="5"/>
      <c r="H61" s="5"/>
    </row>
    <row r="62" spans="1:8" ht="15.5">
      <c r="A62" s="8"/>
      <c r="B62" s="9"/>
      <c r="C62" s="3"/>
      <c r="D62" s="22"/>
      <c r="E62" s="4"/>
      <c r="F62" s="4"/>
      <c r="G62" s="5"/>
      <c r="H62" s="5"/>
    </row>
    <row r="63" spans="1:8" ht="15.5">
      <c r="A63" s="8"/>
      <c r="B63" s="9"/>
      <c r="C63" s="3"/>
      <c r="D63" s="22"/>
      <c r="E63" s="4"/>
      <c r="F63" s="4"/>
      <c r="G63" s="5"/>
      <c r="H63" s="5"/>
    </row>
    <row r="64" spans="1:8" ht="15.5">
      <c r="A64" s="8"/>
      <c r="B64" s="9"/>
      <c r="C64" s="3"/>
      <c r="D64" s="22"/>
      <c r="E64" s="4"/>
      <c r="F64" s="4"/>
      <c r="G64" s="5"/>
      <c r="H64" s="5"/>
    </row>
    <row r="65" spans="1:10" ht="15.5">
      <c r="A65" s="8"/>
      <c r="B65" s="9"/>
      <c r="C65" s="3"/>
      <c r="D65" s="22"/>
      <c r="E65" s="4"/>
      <c r="F65" s="4"/>
      <c r="G65" s="5"/>
      <c r="H65" s="5"/>
    </row>
    <row r="66" spans="1:10" ht="15.5">
      <c r="A66" s="8"/>
      <c r="B66" s="9"/>
      <c r="C66" s="3"/>
      <c r="D66" s="22"/>
      <c r="E66" s="4"/>
      <c r="F66" s="4"/>
      <c r="G66" s="5"/>
      <c r="H66" s="5"/>
    </row>
    <row r="67" spans="1:10" ht="15.5">
      <c r="A67" s="8"/>
      <c r="B67" s="9"/>
      <c r="C67" s="3"/>
      <c r="D67" s="22"/>
      <c r="E67" s="4"/>
      <c r="F67" s="4"/>
      <c r="G67" s="5"/>
      <c r="H67" s="5"/>
    </row>
    <row r="68" spans="1:10" ht="15.5">
      <c r="A68" s="8"/>
      <c r="B68" s="9"/>
      <c r="C68" s="3"/>
      <c r="D68" s="22"/>
      <c r="E68" s="4"/>
      <c r="F68" s="4"/>
      <c r="G68" s="5"/>
      <c r="H68" s="5"/>
    </row>
    <row r="69" spans="1:10" ht="15.5">
      <c r="A69" s="8"/>
      <c r="B69" s="9"/>
      <c r="C69" s="3"/>
      <c r="D69" s="22"/>
      <c r="E69" s="4"/>
      <c r="F69" s="4"/>
      <c r="G69" s="5"/>
      <c r="H69" s="5"/>
    </row>
    <row r="70" spans="1:10" ht="15.5">
      <c r="A70" s="8">
        <v>45203</v>
      </c>
      <c r="B70" s="12"/>
      <c r="C70" s="14" t="s">
        <v>333</v>
      </c>
      <c r="D70" s="22">
        <f t="shared" ref="D70:D101" si="2">+D69+B70</f>
        <v>0</v>
      </c>
      <c r="E70" s="4"/>
      <c r="F70" s="4"/>
      <c r="G70" s="5"/>
      <c r="H70" s="5"/>
    </row>
    <row r="71" spans="1:10" ht="15.5">
      <c r="A71" s="8">
        <v>45205</v>
      </c>
      <c r="B71" s="12"/>
      <c r="C71" s="14" t="s">
        <v>334</v>
      </c>
      <c r="D71" s="22">
        <f t="shared" si="2"/>
        <v>0</v>
      </c>
      <c r="E71" s="4"/>
      <c r="F71" s="4"/>
      <c r="G71" s="5"/>
      <c r="H71" s="5"/>
    </row>
    <row r="72" spans="1:10" ht="15.5">
      <c r="A72" s="8">
        <v>45205</v>
      </c>
      <c r="B72" s="9"/>
      <c r="C72" s="3" t="s">
        <v>335</v>
      </c>
      <c r="D72" s="22">
        <f t="shared" si="2"/>
        <v>0</v>
      </c>
      <c r="E72" s="4"/>
      <c r="F72" s="4"/>
      <c r="G72" s="5"/>
      <c r="H72" s="5"/>
      <c r="J72" s="2"/>
    </row>
    <row r="73" spans="1:10" ht="15.5">
      <c r="A73" s="8">
        <v>45205</v>
      </c>
      <c r="C73" s="16" t="s">
        <v>336</v>
      </c>
      <c r="D73" s="22">
        <f t="shared" si="2"/>
        <v>0</v>
      </c>
      <c r="E73" s="4"/>
      <c r="F73" s="4"/>
      <c r="G73" s="5"/>
      <c r="H73" s="5"/>
    </row>
    <row r="74" spans="1:10" ht="15.5">
      <c r="A74" s="8">
        <v>45206</v>
      </c>
      <c r="B74" s="12"/>
      <c r="C74" s="14" t="s">
        <v>6</v>
      </c>
      <c r="D74" s="22">
        <f t="shared" si="2"/>
        <v>0</v>
      </c>
      <c r="E74" s="4"/>
      <c r="F74" s="4"/>
      <c r="G74" s="5">
        <f>SUM(G29:G73)</f>
        <v>351200</v>
      </c>
      <c r="H74" s="5"/>
    </row>
    <row r="75" spans="1:10" ht="15.5">
      <c r="A75" s="8">
        <v>45201</v>
      </c>
      <c r="B75" s="12"/>
      <c r="C75" s="14" t="s">
        <v>337</v>
      </c>
      <c r="D75" s="22">
        <f t="shared" si="2"/>
        <v>0</v>
      </c>
      <c r="E75" s="4"/>
      <c r="F75" s="4"/>
      <c r="G75" s="5"/>
      <c r="H75" s="5"/>
      <c r="J75" s="11"/>
    </row>
    <row r="76" spans="1:10" ht="15.5">
      <c r="A76" s="8">
        <v>45205</v>
      </c>
      <c r="B76" s="9"/>
      <c r="C76" s="3" t="s">
        <v>38</v>
      </c>
      <c r="D76" s="22">
        <f t="shared" si="2"/>
        <v>0</v>
      </c>
      <c r="E76" s="4"/>
      <c r="F76" s="4"/>
      <c r="G76" s="5"/>
      <c r="H76" s="5"/>
    </row>
    <row r="77" spans="1:10" ht="15.5">
      <c r="A77" s="8">
        <v>45209</v>
      </c>
      <c r="B77" s="9"/>
      <c r="C77" s="3" t="s">
        <v>236</v>
      </c>
      <c r="D77" s="22">
        <f t="shared" si="2"/>
        <v>0</v>
      </c>
      <c r="E77" s="4"/>
      <c r="F77" s="4"/>
      <c r="G77" s="5"/>
      <c r="H77" s="5"/>
    </row>
    <row r="78" spans="1:10" ht="15.5">
      <c r="A78" s="8">
        <v>45211</v>
      </c>
      <c r="B78" s="9"/>
      <c r="C78" s="3" t="s">
        <v>236</v>
      </c>
      <c r="D78" s="22">
        <f t="shared" si="2"/>
        <v>0</v>
      </c>
      <c r="E78" s="4"/>
      <c r="F78" s="4"/>
      <c r="G78" s="5"/>
      <c r="H78" s="5"/>
    </row>
    <row r="79" spans="1:10" ht="15.5">
      <c r="A79" s="8">
        <v>45215</v>
      </c>
      <c r="B79" s="9"/>
      <c r="C79" s="3" t="s">
        <v>236</v>
      </c>
      <c r="D79" s="22">
        <f t="shared" si="2"/>
        <v>0</v>
      </c>
      <c r="E79" s="4"/>
      <c r="F79" s="17"/>
      <c r="G79" s="5"/>
      <c r="H79" s="5"/>
    </row>
    <row r="80" spans="1:10" ht="15.5">
      <c r="A80" s="8">
        <v>45209</v>
      </c>
      <c r="B80" s="9">
        <v>-2000</v>
      </c>
      <c r="C80" s="3" t="s">
        <v>338</v>
      </c>
      <c r="D80" s="22">
        <f t="shared" si="2"/>
        <v>-2000</v>
      </c>
      <c r="E80" s="4"/>
      <c r="F80" s="4"/>
      <c r="G80" s="5"/>
      <c r="H80" s="5"/>
    </row>
    <row r="81" spans="1:10" ht="15.5">
      <c r="A81" s="8">
        <v>45209</v>
      </c>
      <c r="B81" s="9"/>
      <c r="C81" s="3" t="s">
        <v>339</v>
      </c>
      <c r="D81" s="22">
        <f t="shared" si="2"/>
        <v>-2000</v>
      </c>
      <c r="E81" s="4"/>
      <c r="F81" s="4"/>
      <c r="G81" s="5"/>
      <c r="H81" s="5"/>
    </row>
    <row r="82" spans="1:10" ht="15.5">
      <c r="A82" s="8">
        <v>45215</v>
      </c>
      <c r="C82" s="18" t="s">
        <v>340</v>
      </c>
      <c r="D82" s="22">
        <f t="shared" si="2"/>
        <v>-2000</v>
      </c>
      <c r="E82" s="4"/>
      <c r="F82" s="4"/>
      <c r="G82" s="5"/>
      <c r="H82" s="5"/>
    </row>
    <row r="83" spans="1:10" ht="15.5">
      <c r="A83" s="8">
        <v>45211</v>
      </c>
      <c r="B83" s="9"/>
      <c r="C83" s="3" t="s">
        <v>341</v>
      </c>
      <c r="D83" s="22">
        <f t="shared" si="2"/>
        <v>-2000</v>
      </c>
      <c r="E83" s="4"/>
      <c r="F83" s="4"/>
      <c r="G83" s="5"/>
      <c r="H83" s="5"/>
    </row>
    <row r="84" spans="1:10" ht="15.5">
      <c r="A84" s="8">
        <v>45215</v>
      </c>
      <c r="B84" s="9"/>
      <c r="C84" s="3" t="s">
        <v>342</v>
      </c>
      <c r="D84" s="22">
        <f t="shared" si="2"/>
        <v>-2000</v>
      </c>
      <c r="E84" s="4"/>
      <c r="F84" s="4"/>
      <c r="G84" s="5"/>
      <c r="H84" s="5"/>
      <c r="J84" s="11">
        <v>284865</v>
      </c>
    </row>
    <row r="85" spans="1:10" ht="15.5">
      <c r="A85" s="8">
        <v>45215</v>
      </c>
      <c r="B85" s="9"/>
      <c r="C85" s="3" t="s">
        <v>343</v>
      </c>
      <c r="D85" s="22">
        <f t="shared" si="2"/>
        <v>-2000</v>
      </c>
      <c r="E85" s="4"/>
      <c r="F85" s="4" t="s">
        <v>39</v>
      </c>
      <c r="G85" s="2">
        <v>385000</v>
      </c>
      <c r="H85" s="5"/>
    </row>
    <row r="86" spans="1:10" ht="15.5">
      <c r="A86" s="8">
        <v>45215</v>
      </c>
      <c r="B86" s="9"/>
      <c r="C86" s="3" t="s">
        <v>37</v>
      </c>
      <c r="D86" s="22">
        <f t="shared" si="2"/>
        <v>-2000</v>
      </c>
      <c r="E86" s="4"/>
      <c r="F86" s="4" t="s">
        <v>41</v>
      </c>
      <c r="G86" s="2">
        <v>-3133.64</v>
      </c>
      <c r="H86" s="5"/>
    </row>
    <row r="87" spans="1:10" ht="15.5">
      <c r="A87" s="8">
        <v>45211</v>
      </c>
      <c r="B87" s="9"/>
      <c r="C87" s="3" t="s">
        <v>37</v>
      </c>
      <c r="D87" s="22">
        <f t="shared" si="2"/>
        <v>-2000</v>
      </c>
      <c r="E87" s="4"/>
      <c r="F87" s="19" t="s">
        <v>43</v>
      </c>
      <c r="G87" s="2">
        <v>-368.66</v>
      </c>
      <c r="H87" s="5"/>
    </row>
    <row r="88" spans="1:10" ht="15.5">
      <c r="A88" s="8">
        <v>45211</v>
      </c>
      <c r="B88" s="9">
        <v>-4000</v>
      </c>
      <c r="C88" s="3" t="s">
        <v>344</v>
      </c>
      <c r="D88" s="22">
        <f t="shared" si="2"/>
        <v>-6000</v>
      </c>
      <c r="E88" s="4"/>
      <c r="F88" s="4" t="s">
        <v>44</v>
      </c>
      <c r="G88" s="2">
        <v>-1163.1300000000001</v>
      </c>
      <c r="H88" s="5"/>
    </row>
    <row r="89" spans="1:10" ht="15.5">
      <c r="A89" s="8">
        <v>45208</v>
      </c>
      <c r="B89" s="9"/>
      <c r="C89" s="3" t="s">
        <v>37</v>
      </c>
      <c r="D89" s="22">
        <f t="shared" si="2"/>
        <v>-6000</v>
      </c>
      <c r="E89" s="4"/>
      <c r="F89" s="4" t="s">
        <v>45</v>
      </c>
      <c r="G89" s="2">
        <v>-553</v>
      </c>
      <c r="H89" s="5"/>
    </row>
    <row r="90" spans="1:10" ht="15.5">
      <c r="A90" s="20">
        <v>45219</v>
      </c>
      <c r="C90" s="18" t="s">
        <v>345</v>
      </c>
      <c r="D90" s="22">
        <f t="shared" si="2"/>
        <v>-6000</v>
      </c>
      <c r="E90" s="4"/>
      <c r="F90" s="4" t="s">
        <v>46</v>
      </c>
      <c r="G90" s="2">
        <v>-553</v>
      </c>
      <c r="H90" s="5"/>
    </row>
    <row r="91" spans="1:10" ht="15.5">
      <c r="A91" s="20">
        <v>45219</v>
      </c>
      <c r="C91" s="18" t="s">
        <v>19</v>
      </c>
      <c r="D91" s="22">
        <f t="shared" si="2"/>
        <v>-6000</v>
      </c>
      <c r="E91" s="4"/>
      <c r="F91" s="4" t="s">
        <v>47</v>
      </c>
      <c r="G91" s="2">
        <v>-553</v>
      </c>
      <c r="H91" s="5"/>
    </row>
    <row r="92" spans="1:10" ht="15.5">
      <c r="A92" s="8">
        <v>45220</v>
      </c>
      <c r="B92" s="9">
        <v>-2000</v>
      </c>
      <c r="C92" s="3" t="s">
        <v>31</v>
      </c>
      <c r="D92" s="22">
        <f t="shared" si="2"/>
        <v>-8000</v>
      </c>
      <c r="E92" s="4"/>
      <c r="H92" s="5"/>
    </row>
    <row r="93" spans="1:10" ht="15.5">
      <c r="A93" s="8">
        <v>45219</v>
      </c>
      <c r="B93" s="9">
        <v>-1300</v>
      </c>
      <c r="C93" s="3" t="s">
        <v>346</v>
      </c>
      <c r="D93" s="22">
        <f t="shared" si="2"/>
        <v>-9300</v>
      </c>
      <c r="E93" s="4"/>
      <c r="F93" s="4" t="s">
        <v>48</v>
      </c>
      <c r="G93" s="2">
        <f>SUM(G85:G91)</f>
        <v>378675.57</v>
      </c>
      <c r="H93" s="5"/>
    </row>
    <row r="94" spans="1:10" ht="15.5">
      <c r="A94" s="8">
        <v>45219</v>
      </c>
      <c r="B94" s="9"/>
      <c r="C94" s="3" t="s">
        <v>347</v>
      </c>
      <c r="D94" s="22">
        <f t="shared" si="2"/>
        <v>-9300</v>
      </c>
      <c r="E94" s="4"/>
      <c r="F94" s="4" t="s">
        <v>49</v>
      </c>
      <c r="G94" s="2">
        <f>+G93*0.25</f>
        <v>94668.892500000002</v>
      </c>
      <c r="H94" s="5"/>
    </row>
    <row r="95" spans="1:10" ht="15.5">
      <c r="A95" s="8">
        <v>45219</v>
      </c>
      <c r="B95" s="9"/>
      <c r="C95" s="3" t="s">
        <v>348</v>
      </c>
      <c r="D95" s="22">
        <f t="shared" si="2"/>
        <v>-9300</v>
      </c>
      <c r="E95" s="4"/>
      <c r="F95" s="4" t="s">
        <v>50</v>
      </c>
      <c r="G95" s="5">
        <v>-90000</v>
      </c>
      <c r="H95" s="5"/>
      <c r="J95" s="2"/>
    </row>
    <row r="96" spans="1:10" ht="15.5">
      <c r="A96" s="8">
        <v>45221</v>
      </c>
      <c r="B96" s="9"/>
      <c r="C96" s="3" t="s">
        <v>349</v>
      </c>
      <c r="D96" s="22">
        <f t="shared" si="2"/>
        <v>-9300</v>
      </c>
      <c r="E96" s="4"/>
      <c r="F96" s="4" t="s">
        <v>52</v>
      </c>
      <c r="G96" s="5">
        <f>SUM(G94:G95)</f>
        <v>4668.8925000000017</v>
      </c>
      <c r="H96" s="5"/>
    </row>
    <row r="97" spans="1:10" ht="15.5">
      <c r="A97" s="8">
        <v>45224</v>
      </c>
      <c r="B97" s="9"/>
      <c r="C97" s="3" t="s">
        <v>6</v>
      </c>
      <c r="D97" s="22">
        <f t="shared" si="2"/>
        <v>-9300</v>
      </c>
      <c r="E97" s="4"/>
      <c r="F97" s="4"/>
      <c r="G97" s="5"/>
      <c r="H97" s="5"/>
    </row>
    <row r="98" spans="1:10" ht="15.5">
      <c r="A98" s="8">
        <v>45224</v>
      </c>
      <c r="B98" s="9"/>
      <c r="C98" s="3" t="s">
        <v>19</v>
      </c>
      <c r="D98" s="22">
        <f t="shared" si="2"/>
        <v>-9300</v>
      </c>
      <c r="E98" s="4"/>
      <c r="F98" s="4"/>
      <c r="G98" s="5"/>
      <c r="H98" s="5"/>
      <c r="J98" s="11"/>
    </row>
    <row r="99" spans="1:10" ht="15.5">
      <c r="A99" s="8">
        <v>45224</v>
      </c>
      <c r="B99" s="9"/>
      <c r="C99" s="3" t="s">
        <v>254</v>
      </c>
      <c r="D99" s="22">
        <f t="shared" si="2"/>
        <v>-9300</v>
      </c>
      <c r="E99" s="4"/>
      <c r="F99" s="4"/>
      <c r="G99" s="5"/>
      <c r="H99" s="5"/>
    </row>
    <row r="100" spans="1:10" ht="15.5">
      <c r="A100" s="8">
        <v>45222</v>
      </c>
      <c r="B100" s="9"/>
      <c r="C100" s="3" t="s">
        <v>37</v>
      </c>
      <c r="D100" s="22">
        <f t="shared" si="2"/>
        <v>-9300</v>
      </c>
      <c r="E100" s="4"/>
      <c r="F100" s="4"/>
      <c r="G100" s="5"/>
      <c r="H100" s="5">
        <v>284865</v>
      </c>
    </row>
    <row r="101" spans="1:10" ht="15.5">
      <c r="A101" s="8">
        <v>45224</v>
      </c>
      <c r="B101" s="9"/>
      <c r="C101" s="3" t="s">
        <v>350</v>
      </c>
      <c r="D101" s="22">
        <f t="shared" si="2"/>
        <v>-9300</v>
      </c>
      <c r="E101" s="4"/>
      <c r="F101" s="4"/>
      <c r="G101" s="5"/>
      <c r="H101" s="5">
        <v>90000</v>
      </c>
    </row>
    <row r="102" spans="1:10" ht="15.5">
      <c r="A102" s="8">
        <v>45224</v>
      </c>
      <c r="B102" s="9"/>
      <c r="C102" s="3" t="s">
        <v>37</v>
      </c>
      <c r="D102" s="22">
        <f t="shared" ref="D102:D118" si="3">+D101+B102</f>
        <v>-9300</v>
      </c>
      <c r="E102" s="4"/>
      <c r="F102" s="17">
        <f>SUM(B25:B100)</f>
        <v>-236051</v>
      </c>
      <c r="G102" s="5"/>
      <c r="H102" s="5">
        <v>5000</v>
      </c>
    </row>
    <row r="103" spans="1:10" ht="15.5">
      <c r="A103" s="8">
        <v>45224</v>
      </c>
      <c r="B103" s="9"/>
      <c r="C103" s="3" t="s">
        <v>351</v>
      </c>
      <c r="D103" s="22">
        <f t="shared" si="3"/>
        <v>-9300</v>
      </c>
      <c r="E103" s="4"/>
      <c r="F103" s="4"/>
      <c r="G103" s="5"/>
      <c r="H103" s="5">
        <f>SUM(H100:H102)</f>
        <v>379865</v>
      </c>
    </row>
    <row r="104" spans="1:10" ht="15.5">
      <c r="A104" s="8">
        <v>45224</v>
      </c>
      <c r="B104" s="9">
        <v>-750</v>
      </c>
      <c r="C104" s="3" t="s">
        <v>352</v>
      </c>
      <c r="D104" s="22">
        <f t="shared" si="3"/>
        <v>-10050</v>
      </c>
      <c r="E104" s="4"/>
      <c r="F104" s="4"/>
      <c r="G104" s="5"/>
      <c r="H104" s="5"/>
    </row>
    <row r="105" spans="1:10" ht="15.5">
      <c r="A105" s="8">
        <v>45230</v>
      </c>
      <c r="B105" s="9"/>
      <c r="C105" s="3" t="s">
        <v>353</v>
      </c>
      <c r="D105" s="22">
        <f t="shared" si="3"/>
        <v>-10050</v>
      </c>
      <c r="E105" s="4"/>
      <c r="F105" s="4"/>
      <c r="G105" s="5"/>
      <c r="H105" s="5"/>
    </row>
    <row r="106" spans="1:10" ht="15.5">
      <c r="A106" s="8">
        <v>45230</v>
      </c>
      <c r="B106" s="9"/>
      <c r="C106" s="3" t="s">
        <v>354</v>
      </c>
      <c r="D106" s="22">
        <f t="shared" si="3"/>
        <v>-10050</v>
      </c>
      <c r="E106" s="4"/>
      <c r="F106" s="4"/>
      <c r="G106" s="5"/>
      <c r="H106" s="5"/>
    </row>
    <row r="107" spans="1:10" ht="15.5">
      <c r="A107" s="8">
        <v>45228</v>
      </c>
      <c r="B107" s="9"/>
      <c r="C107" s="3" t="s">
        <v>355</v>
      </c>
      <c r="D107" s="22">
        <f t="shared" si="3"/>
        <v>-10050</v>
      </c>
      <c r="E107" s="4"/>
      <c r="F107" s="4"/>
      <c r="G107" s="5"/>
      <c r="H107" s="5"/>
    </row>
    <row r="108" spans="1:10" ht="15.5">
      <c r="A108" s="8">
        <v>45227</v>
      </c>
      <c r="B108" s="9"/>
      <c r="C108" s="3" t="s">
        <v>356</v>
      </c>
      <c r="D108" s="22">
        <f t="shared" si="3"/>
        <v>-10050</v>
      </c>
      <c r="E108" s="4"/>
      <c r="F108" s="4"/>
      <c r="G108" s="5"/>
      <c r="H108" s="5"/>
    </row>
    <row r="109" spans="1:10" ht="15.5">
      <c r="A109" s="8">
        <v>45225</v>
      </c>
      <c r="B109" s="9"/>
      <c r="C109" s="3" t="s">
        <v>37</v>
      </c>
      <c r="D109" s="22">
        <f t="shared" si="3"/>
        <v>-10050</v>
      </c>
      <c r="E109" s="4"/>
      <c r="F109" s="4"/>
      <c r="G109" s="5"/>
      <c r="H109" s="5"/>
    </row>
    <row r="110" spans="1:10" ht="15.5">
      <c r="A110" s="8">
        <v>45225</v>
      </c>
      <c r="B110" s="9"/>
      <c r="C110" s="3" t="s">
        <v>32</v>
      </c>
      <c r="D110" s="22">
        <f t="shared" si="3"/>
        <v>-10050</v>
      </c>
      <c r="E110" s="4"/>
      <c r="F110" s="4"/>
      <c r="G110" s="5"/>
      <c r="H110" s="5"/>
    </row>
    <row r="111" spans="1:10" ht="15.5">
      <c r="A111" s="8"/>
      <c r="B111" s="9"/>
      <c r="C111" s="3"/>
      <c r="D111" s="22">
        <f t="shared" si="3"/>
        <v>-10050</v>
      </c>
      <c r="E111" s="4"/>
      <c r="F111" s="4"/>
      <c r="G111" s="5"/>
      <c r="H111" s="5"/>
    </row>
    <row r="112" spans="1:10" ht="15.5">
      <c r="A112" s="8"/>
      <c r="B112" s="9"/>
      <c r="C112" s="3"/>
      <c r="D112" s="22">
        <f t="shared" si="3"/>
        <v>-10050</v>
      </c>
      <c r="E112" s="4"/>
      <c r="F112" s="4"/>
      <c r="G112" s="5"/>
      <c r="H112" s="5"/>
    </row>
    <row r="113" spans="1:8" ht="15.5">
      <c r="A113" s="8"/>
      <c r="B113" s="9"/>
      <c r="C113" s="3"/>
      <c r="D113" s="22">
        <f t="shared" si="3"/>
        <v>-10050</v>
      </c>
      <c r="E113" s="4"/>
      <c r="F113" s="4"/>
      <c r="G113" s="5"/>
      <c r="H113" s="5"/>
    </row>
    <row r="114" spans="1:8" ht="15.5">
      <c r="A114" s="8"/>
      <c r="B114" s="9"/>
      <c r="C114" s="3"/>
      <c r="D114" s="22">
        <f t="shared" si="3"/>
        <v>-10050</v>
      </c>
      <c r="E114" s="4"/>
      <c r="F114" s="4"/>
      <c r="G114" s="5"/>
      <c r="H114" s="5"/>
    </row>
    <row r="115" spans="1:8" ht="15.5">
      <c r="A115" s="8"/>
      <c r="B115" s="9">
        <f>SUM(B70:B114)</f>
        <v>-10050</v>
      </c>
      <c r="C115" s="3"/>
      <c r="D115" s="22">
        <f t="shared" si="3"/>
        <v>-20100</v>
      </c>
      <c r="E115" s="4"/>
      <c r="F115" s="4"/>
      <c r="G115" s="5"/>
      <c r="H115" s="5"/>
    </row>
    <row r="116" spans="1:8" ht="15.5">
      <c r="A116" s="8"/>
      <c r="B116" s="9"/>
      <c r="C116" s="3"/>
      <c r="D116" s="22">
        <f t="shared" si="3"/>
        <v>-20100</v>
      </c>
      <c r="E116" s="4"/>
      <c r="F116" s="4"/>
      <c r="G116" s="5"/>
      <c r="H116" s="5"/>
    </row>
    <row r="117" spans="1:8" ht="15.5">
      <c r="A117" s="8"/>
      <c r="B117" s="9"/>
      <c r="C117" s="3"/>
      <c r="D117" s="22">
        <f t="shared" si="3"/>
        <v>-20100</v>
      </c>
      <c r="E117" s="4"/>
      <c r="F117" s="4"/>
      <c r="G117" s="5"/>
      <c r="H117" s="5"/>
    </row>
    <row r="118" spans="1:8" ht="15.5">
      <c r="A118" s="8"/>
      <c r="B118" s="9"/>
      <c r="C118" s="3"/>
      <c r="D118" s="22">
        <f t="shared" si="3"/>
        <v>-20100</v>
      </c>
      <c r="E118" s="4"/>
      <c r="F118" s="4"/>
      <c r="G118" s="5"/>
      <c r="H118" s="5"/>
    </row>
    <row r="119" spans="1:8" ht="15.5">
      <c r="A119" s="8"/>
      <c r="B119" s="9"/>
      <c r="C119" s="3"/>
      <c r="D119" s="22"/>
      <c r="E119" s="4"/>
      <c r="F119" s="4"/>
      <c r="G119" s="5"/>
      <c r="H119" s="5"/>
    </row>
    <row r="120" spans="1:8" ht="15.5">
      <c r="A120" s="8"/>
      <c r="B120" s="9"/>
      <c r="C120" s="3"/>
      <c r="D120" s="22"/>
      <c r="E120" s="4"/>
      <c r="F120" s="4"/>
      <c r="G120" s="5"/>
      <c r="H120" s="5"/>
    </row>
    <row r="121" spans="1:8" ht="15.5">
      <c r="A121" s="8"/>
      <c r="B121" s="9"/>
      <c r="C121" s="3"/>
      <c r="D121" s="22"/>
      <c r="E121" s="4"/>
      <c r="F121" s="4"/>
      <c r="G121" s="5"/>
      <c r="H121" s="5"/>
    </row>
    <row r="122" spans="1:8" ht="15.5">
      <c r="A122" s="8"/>
      <c r="B122" s="9"/>
      <c r="C122" s="3"/>
      <c r="D122" s="22"/>
      <c r="E122" s="4"/>
      <c r="F122" s="4"/>
      <c r="G122" s="5"/>
      <c r="H122" s="5"/>
    </row>
    <row r="123" spans="1:8" ht="15.5">
      <c r="A123" s="8"/>
      <c r="B123" s="9"/>
      <c r="C123" s="3"/>
      <c r="D123" s="22"/>
      <c r="E123" s="4"/>
      <c r="F123" s="4"/>
      <c r="G123" s="5"/>
      <c r="H123" s="5"/>
    </row>
    <row r="124" spans="1:8" ht="15.5">
      <c r="A124" s="8"/>
      <c r="B124" s="9"/>
      <c r="C124" s="3"/>
      <c r="D124" s="22"/>
      <c r="E124" s="4"/>
      <c r="F124" s="4"/>
      <c r="G124" s="5"/>
      <c r="H124" s="5"/>
    </row>
    <row r="125" spans="1:8" ht="15.5">
      <c r="A125" s="8"/>
      <c r="B125" s="9"/>
      <c r="C125" s="3"/>
      <c r="D125" s="22"/>
      <c r="E125" s="4"/>
      <c r="F125" s="4"/>
      <c r="G125" s="5"/>
      <c r="H125" s="5"/>
    </row>
    <row r="126" spans="1:8" ht="15.5">
      <c r="A126" s="8"/>
      <c r="B126" s="9"/>
      <c r="C126" s="3"/>
      <c r="D126" s="22"/>
      <c r="E126" s="4"/>
      <c r="F126" s="4"/>
      <c r="G126" s="5"/>
      <c r="H126" s="5"/>
    </row>
    <row r="127" spans="1:8" ht="15.5">
      <c r="A127" s="8"/>
      <c r="B127" s="9"/>
      <c r="C127" s="3"/>
      <c r="D127" s="22"/>
      <c r="E127" s="4"/>
      <c r="F127" s="4"/>
      <c r="G127" s="5"/>
      <c r="H127" s="5"/>
    </row>
    <row r="128" spans="1:8" ht="15.5">
      <c r="A128" s="8"/>
      <c r="B128" s="9"/>
      <c r="C128" s="3"/>
      <c r="D128" s="22"/>
      <c r="E128" s="4"/>
      <c r="F128" s="4"/>
      <c r="G128" s="5"/>
      <c r="H128" s="5"/>
    </row>
    <row r="129" spans="1:8" ht="15.5">
      <c r="A129" s="8"/>
      <c r="B129" s="9"/>
      <c r="C129" s="3"/>
      <c r="D129" s="22"/>
      <c r="E129" s="4"/>
      <c r="F129" s="4"/>
      <c r="G129" s="5"/>
      <c r="H129" s="5"/>
    </row>
    <row r="130" spans="1:8" ht="15.5">
      <c r="A130" s="8"/>
      <c r="B130" s="9"/>
      <c r="C130" s="3"/>
      <c r="D130" s="22"/>
      <c r="E130" s="4"/>
      <c r="F130" s="4"/>
      <c r="G130" s="5"/>
      <c r="H130" s="5"/>
    </row>
    <row r="131" spans="1:8" ht="15.5">
      <c r="A131" s="8"/>
      <c r="B131" s="9"/>
      <c r="C131" s="3"/>
      <c r="D131" s="22"/>
      <c r="E131" s="4"/>
      <c r="F131" s="4"/>
      <c r="G131" s="5"/>
      <c r="H131" s="5"/>
    </row>
    <row r="132" spans="1:8" ht="15.5">
      <c r="A132" s="8"/>
      <c r="B132" s="9"/>
      <c r="C132" s="3"/>
      <c r="D132" s="22"/>
      <c r="E132" s="4"/>
      <c r="F132" s="4"/>
      <c r="G132" s="5"/>
      <c r="H132" s="5"/>
    </row>
    <row r="133" spans="1:8" ht="15.5">
      <c r="A133" s="13"/>
      <c r="B133" s="12"/>
      <c r="C133" s="14"/>
      <c r="D133" s="22"/>
      <c r="E133" s="4"/>
      <c r="F133" s="4"/>
      <c r="G133" s="5"/>
      <c r="H133" s="5"/>
    </row>
    <row r="134" spans="1:8" ht="15.5">
      <c r="A134" s="13"/>
      <c r="B134" s="12"/>
      <c r="C134" s="14"/>
      <c r="D134" s="22"/>
      <c r="E134" s="4"/>
      <c r="F134" s="4"/>
      <c r="G134" s="5"/>
      <c r="H134" s="5"/>
    </row>
    <row r="135" spans="1:8" ht="15.5">
      <c r="A135" s="8"/>
      <c r="B135" s="9"/>
      <c r="C135" s="3"/>
      <c r="D135" s="22"/>
      <c r="E135" s="4"/>
      <c r="F135" s="4"/>
      <c r="G135" s="5"/>
      <c r="H135" s="5"/>
    </row>
    <row r="136" spans="1:8" ht="15.5">
      <c r="A136" s="13"/>
      <c r="C136" s="16"/>
      <c r="D136" s="22"/>
      <c r="E136" s="4"/>
      <c r="F136" s="4"/>
      <c r="G136" s="5"/>
      <c r="H136" s="5"/>
    </row>
    <row r="137" spans="1:8" ht="15.5">
      <c r="A137" s="13"/>
      <c r="B137" s="12"/>
      <c r="C137" s="14"/>
      <c r="D137" s="22"/>
      <c r="E137" s="4"/>
      <c r="F137" s="4"/>
      <c r="G137" s="5"/>
      <c r="H137" s="5"/>
    </row>
    <row r="138" spans="1:8" ht="15.5">
      <c r="A138" s="13"/>
      <c r="B138" s="12"/>
      <c r="C138" s="14"/>
      <c r="D138" s="22"/>
      <c r="E138" s="4"/>
      <c r="F138" s="4"/>
      <c r="G138" s="5"/>
      <c r="H138" s="5"/>
    </row>
    <row r="139" spans="1:8" ht="15.5">
      <c r="A139" s="13"/>
      <c r="B139" s="12"/>
      <c r="C139" s="14"/>
      <c r="D139" s="22"/>
      <c r="E139" s="4"/>
      <c r="F139" s="4"/>
      <c r="G139" s="5"/>
      <c r="H139" s="5"/>
    </row>
    <row r="140" spans="1:8" ht="15.5">
      <c r="A140" s="8"/>
      <c r="B140" s="12"/>
      <c r="C140" s="14"/>
      <c r="D140" s="22"/>
      <c r="E140" s="4"/>
      <c r="F140" s="4"/>
      <c r="G140" s="5"/>
      <c r="H140" s="5"/>
    </row>
    <row r="141" spans="1:8" ht="15.5">
      <c r="A141" s="8"/>
      <c r="B141" s="9"/>
      <c r="C141" s="3"/>
      <c r="D141" s="22"/>
      <c r="E141" s="4"/>
      <c r="F141" s="4"/>
      <c r="G141" s="5"/>
      <c r="H141" s="5"/>
    </row>
    <row r="142" spans="1:8" ht="15.5">
      <c r="A142" s="8"/>
      <c r="B142" s="9"/>
      <c r="C142" s="3"/>
      <c r="D142" s="22"/>
      <c r="E142" s="4"/>
      <c r="F142" s="4"/>
      <c r="G142" s="5"/>
      <c r="H142" s="5"/>
    </row>
    <row r="143" spans="1:8" ht="15.5">
      <c r="A143" s="8"/>
      <c r="B143" s="9"/>
      <c r="C143" s="3"/>
      <c r="D143" s="22"/>
      <c r="E143" s="4"/>
      <c r="F143" s="4"/>
      <c r="G143" s="5"/>
      <c r="H143" s="5"/>
    </row>
    <row r="144" spans="1:8" ht="15.5">
      <c r="A144" s="8"/>
      <c r="B144" s="9"/>
      <c r="C144" s="3"/>
      <c r="D144" s="22"/>
      <c r="E144" s="4"/>
      <c r="F144" s="4"/>
      <c r="G144" s="5"/>
      <c r="H144" s="5"/>
    </row>
    <row r="145" spans="1:8" ht="15.5">
      <c r="A145" s="8"/>
      <c r="B145" s="9"/>
      <c r="C145" s="3"/>
      <c r="D145" s="22"/>
      <c r="E145" s="4"/>
      <c r="F145" s="4"/>
      <c r="G145" s="5"/>
      <c r="H145" s="5"/>
    </row>
    <row r="146" spans="1:8" ht="15.5">
      <c r="A146" s="8"/>
      <c r="B146" s="9"/>
      <c r="C146" s="3"/>
      <c r="D146" s="22"/>
      <c r="E146" s="4"/>
      <c r="F146" s="4"/>
      <c r="G146" s="5"/>
      <c r="H146" s="5"/>
    </row>
    <row r="147" spans="1:8" ht="15.5">
      <c r="A147" s="8"/>
      <c r="C147" s="18"/>
      <c r="D147" s="22"/>
      <c r="E147" s="4"/>
      <c r="F147" s="4"/>
      <c r="G147" s="5"/>
      <c r="H147" s="5"/>
    </row>
    <row r="148" spans="1:8" ht="15.5">
      <c r="A148" s="8"/>
      <c r="B148" s="9"/>
      <c r="C148" s="3"/>
      <c r="D148" s="22"/>
      <c r="E148" s="4"/>
      <c r="F148" s="4"/>
      <c r="G148" s="5"/>
      <c r="H148" s="5"/>
    </row>
    <row r="149" spans="1:8" ht="15.5">
      <c r="A149" s="8"/>
      <c r="B149" s="9"/>
      <c r="C149" s="3"/>
      <c r="D149" s="22"/>
      <c r="E149" s="4"/>
      <c r="F149" s="4"/>
      <c r="G149" s="5"/>
      <c r="H149" s="5"/>
    </row>
    <row r="150" spans="1:8" ht="15.5">
      <c r="A150" s="8"/>
      <c r="B150" s="9"/>
      <c r="C150" s="3"/>
      <c r="D150" s="22"/>
      <c r="E150" s="4"/>
      <c r="F150" s="4"/>
      <c r="G150" s="5"/>
      <c r="H150" s="5"/>
    </row>
    <row r="151" spans="1:8" ht="15.5">
      <c r="A151" s="8"/>
      <c r="B151" s="9"/>
      <c r="C151" s="3"/>
      <c r="D151" s="22"/>
      <c r="E151" s="4"/>
      <c r="F151" s="4"/>
      <c r="G151" s="5"/>
      <c r="H151" s="5"/>
    </row>
    <row r="152" spans="1:8" ht="15.5">
      <c r="A152" s="8"/>
      <c r="B152" s="9"/>
      <c r="C152" s="3"/>
      <c r="D152" s="22"/>
      <c r="E152" s="4"/>
      <c r="F152" s="4"/>
      <c r="G152" s="5"/>
      <c r="H152" s="5"/>
    </row>
    <row r="153" spans="1:8" ht="15.5">
      <c r="A153" s="8"/>
      <c r="B153" s="9"/>
      <c r="C153" s="3"/>
      <c r="D153" s="22"/>
      <c r="E153" s="4"/>
      <c r="F153" s="4"/>
      <c r="G153" s="5"/>
      <c r="H153" s="5"/>
    </row>
    <row r="154" spans="1:8" ht="15.5">
      <c r="A154" s="8"/>
      <c r="B154" s="9"/>
      <c r="C154" s="3"/>
      <c r="D154" s="22"/>
      <c r="E154" s="4"/>
      <c r="F154" s="4"/>
      <c r="G154" s="5"/>
      <c r="H154" s="5"/>
    </row>
    <row r="155" spans="1:8" ht="15.5">
      <c r="A155" s="8"/>
      <c r="B155" s="9"/>
      <c r="C155" s="3"/>
      <c r="D155" s="22"/>
      <c r="E155" s="4"/>
      <c r="F155" s="4"/>
      <c r="G155" s="5"/>
      <c r="H155" s="5"/>
    </row>
    <row r="156" spans="1:8" ht="15.5">
      <c r="A156" s="8"/>
      <c r="B156" s="9"/>
      <c r="C156" s="3"/>
      <c r="D156" s="22"/>
      <c r="E156" s="4"/>
      <c r="F156" s="4"/>
      <c r="G156" s="5"/>
      <c r="H156" s="5"/>
    </row>
    <row r="157" spans="1:8" ht="15.5">
      <c r="A157" s="8"/>
      <c r="B157" s="9"/>
      <c r="C157" s="3"/>
      <c r="D157" s="22"/>
      <c r="E157" s="4"/>
      <c r="F157" s="4"/>
      <c r="G157" s="5"/>
      <c r="H157" s="5"/>
    </row>
    <row r="158" spans="1:8" ht="15.5">
      <c r="A158" s="8"/>
      <c r="B158" s="9"/>
      <c r="C158" s="3"/>
      <c r="D158" s="22"/>
      <c r="E158" s="4"/>
      <c r="F158" s="4"/>
      <c r="G158" s="5"/>
      <c r="H158" s="5"/>
    </row>
    <row r="159" spans="1:8" ht="15.5">
      <c r="A159" s="8"/>
      <c r="B159" s="9"/>
      <c r="C159" s="3"/>
      <c r="D159" s="22"/>
      <c r="E159" s="4"/>
      <c r="F159" s="4"/>
      <c r="G159" s="5"/>
      <c r="H159" s="5"/>
    </row>
    <row r="160" spans="1:8" ht="15.5">
      <c r="A160" s="8"/>
      <c r="B160" s="9"/>
      <c r="C160" s="3"/>
      <c r="D160" s="22"/>
      <c r="E160" s="4"/>
      <c r="F160" s="4"/>
      <c r="G160" s="5"/>
      <c r="H160" s="5"/>
    </row>
    <row r="161" spans="1:8" ht="15.5">
      <c r="A161" s="8"/>
      <c r="B161" s="9"/>
      <c r="C161" s="3"/>
      <c r="D161" s="22"/>
      <c r="E161" s="17"/>
      <c r="F161" s="4"/>
      <c r="G161" s="5"/>
      <c r="H161" s="5"/>
    </row>
    <row r="162" spans="1:8" ht="15.5">
      <c r="A162" s="13"/>
      <c r="B162" s="12"/>
      <c r="C162" s="3"/>
      <c r="D162" s="22"/>
    </row>
    <row r="163" spans="1:8" ht="15.5">
      <c r="A163" s="8"/>
      <c r="B163" s="9"/>
      <c r="C163" s="3"/>
      <c r="D163" s="22"/>
      <c r="G163" s="2">
        <v>250</v>
      </c>
      <c r="H163" s="11">
        <f>+F163*G163</f>
        <v>0</v>
      </c>
    </row>
    <row r="164" spans="1:8" ht="15.5">
      <c r="A164" s="8"/>
      <c r="B164" s="9"/>
      <c r="C164" s="3"/>
      <c r="D164" s="22"/>
      <c r="G164" s="2">
        <v>250</v>
      </c>
      <c r="H164" s="11">
        <f>+F164*G164</f>
        <v>0</v>
      </c>
    </row>
    <row r="165" spans="1:8" ht="15.5">
      <c r="A165" s="8"/>
      <c r="B165" s="9"/>
      <c r="C165" s="3"/>
      <c r="D165" s="22"/>
    </row>
    <row r="166" spans="1:8" ht="15.5">
      <c r="A166" s="8"/>
      <c r="B166" s="9"/>
      <c r="C166" s="3"/>
      <c r="D166" s="22"/>
    </row>
    <row r="167" spans="1:8" ht="15.5">
      <c r="A167" s="8"/>
      <c r="B167" s="9"/>
      <c r="C167" s="3"/>
      <c r="D167" s="22"/>
    </row>
    <row r="168" spans="1:8" ht="15.5">
      <c r="A168" s="23"/>
      <c r="B168" s="5"/>
      <c r="C168" s="18"/>
      <c r="D168" s="22"/>
    </row>
    <row r="169" spans="1:8" ht="15.5">
      <c r="A169" s="8"/>
      <c r="B169" s="9"/>
      <c r="C169" s="3"/>
      <c r="D169" s="22"/>
      <c r="H169">
        <v>15000</v>
      </c>
    </row>
    <row r="170" spans="1:8" ht="15.5">
      <c r="A170" s="8"/>
      <c r="B170" s="9"/>
      <c r="C170" s="3"/>
      <c r="D170" s="22"/>
    </row>
    <row r="171" spans="1:8" ht="15.5">
      <c r="A171" s="23"/>
      <c r="B171" s="5"/>
      <c r="C171" s="18"/>
      <c r="D171" s="22"/>
    </row>
    <row r="172" spans="1:8" ht="15.5">
      <c r="A172" s="13"/>
      <c r="B172" s="12"/>
      <c r="C172" s="3"/>
      <c r="D172" s="22"/>
    </row>
    <row r="173" spans="1:8" ht="15.5">
      <c r="A173" s="8"/>
      <c r="B173" s="9"/>
      <c r="C173" s="3"/>
      <c r="D173" s="22"/>
    </row>
    <row r="174" spans="1:8" ht="15.5">
      <c r="A174" s="8"/>
      <c r="B174" s="9"/>
      <c r="C174" s="3"/>
      <c r="D174" s="22"/>
    </row>
    <row r="175" spans="1:8" ht="15.5">
      <c r="A175" s="8"/>
      <c r="B175" s="9"/>
      <c r="C175" s="3"/>
      <c r="D175" s="22"/>
    </row>
    <row r="176" spans="1:8" ht="15.5">
      <c r="A176" s="8"/>
      <c r="B176" s="9"/>
      <c r="C176" s="3"/>
      <c r="D176" s="22"/>
    </row>
    <row r="177" spans="1:8" ht="15.5">
      <c r="A177" s="8"/>
      <c r="B177" s="9"/>
      <c r="C177" s="3"/>
      <c r="D177" s="22"/>
    </row>
    <row r="178" spans="1:8" ht="15.5">
      <c r="A178" s="8"/>
      <c r="B178" s="9"/>
      <c r="C178" s="3"/>
      <c r="D178" s="22"/>
      <c r="F178">
        <v>325000</v>
      </c>
      <c r="G178" s="24">
        <v>3.4200000000000001E-2</v>
      </c>
      <c r="H178" s="11">
        <f>+F178*G178</f>
        <v>11115</v>
      </c>
    </row>
    <row r="179" spans="1:8" ht="15.5">
      <c r="A179" s="8"/>
      <c r="B179" s="9"/>
      <c r="C179" s="3"/>
      <c r="D179" s="22"/>
      <c r="F179">
        <v>1325000</v>
      </c>
      <c r="G179" s="25">
        <v>3.4200000000000001E-2</v>
      </c>
      <c r="H179" s="11">
        <f>+F179*G179</f>
        <v>45315</v>
      </c>
    </row>
    <row r="180" spans="1:8" ht="15.5">
      <c r="A180" s="8"/>
      <c r="B180" s="9"/>
      <c r="C180" s="3"/>
      <c r="D180" s="22"/>
    </row>
    <row r="181" spans="1:8" ht="15.5">
      <c r="A181" s="8"/>
      <c r="B181" s="9"/>
      <c r="C181" s="3"/>
      <c r="D181" s="22"/>
    </row>
    <row r="182" spans="1:8" ht="15.5">
      <c r="A182" s="8"/>
      <c r="B182" s="9"/>
      <c r="C182" s="3"/>
      <c r="D182" s="10"/>
      <c r="F182">
        <f>250*5300</f>
        <v>1325000</v>
      </c>
      <c r="H182">
        <f>SUM(H169:H181)</f>
        <v>71430</v>
      </c>
    </row>
    <row r="183" spans="1:8" ht="15.5">
      <c r="A183" s="8"/>
      <c r="B183" s="9"/>
      <c r="C183" s="3"/>
    </row>
    <row r="184" spans="1:8" ht="15.5">
      <c r="A184" s="8"/>
      <c r="B184" s="9"/>
      <c r="C184" s="3"/>
    </row>
    <row r="185" spans="1:8" ht="15.5">
      <c r="A185" s="8"/>
      <c r="B185" s="9"/>
      <c r="C185" s="3"/>
    </row>
    <row r="186" spans="1:8" ht="15.5">
      <c r="A186" s="8"/>
      <c r="B186" s="9"/>
      <c r="C186" s="3"/>
    </row>
    <row r="187" spans="1:8" ht="15.5">
      <c r="A187" s="8"/>
      <c r="B187" s="9"/>
      <c r="C187" s="3"/>
    </row>
    <row r="188" spans="1:8" ht="15.5">
      <c r="A188" s="8"/>
      <c r="B188" s="9"/>
      <c r="C188" s="3"/>
    </row>
    <row r="189" spans="1:8" ht="15.5">
      <c r="A189" s="8"/>
      <c r="B189" s="9"/>
      <c r="C189" s="3"/>
    </row>
    <row r="190" spans="1:8" ht="15.5">
      <c r="A190" s="8"/>
      <c r="B190" s="9"/>
      <c r="C190" s="3"/>
    </row>
    <row r="191" spans="1:8" ht="15.5">
      <c r="A191" s="8"/>
      <c r="B191" s="9"/>
      <c r="C191" s="3"/>
    </row>
    <row r="192" spans="1:8" ht="15.5">
      <c r="A192" s="8"/>
      <c r="B192" s="9"/>
      <c r="C192" s="3"/>
    </row>
    <row r="193" spans="1:3" ht="15.5">
      <c r="A193" s="8"/>
      <c r="B193" s="9"/>
      <c r="C193" s="3"/>
    </row>
    <row r="194" spans="1:3" ht="15.5">
      <c r="A194" s="8"/>
      <c r="B194" s="9"/>
      <c r="C194" s="3"/>
    </row>
    <row r="195" spans="1:3" ht="15.5">
      <c r="A195" s="8"/>
      <c r="B195" s="12"/>
      <c r="C195" s="14"/>
    </row>
    <row r="196" spans="1:3">
      <c r="A196" s="13"/>
      <c r="C196" s="16"/>
    </row>
    <row r="197" spans="1:3">
      <c r="A197" s="13"/>
      <c r="B197" s="12"/>
      <c r="C197" s="14"/>
    </row>
    <row r="198" spans="1:3">
      <c r="A198" s="13"/>
      <c r="B198" s="12"/>
      <c r="C198" s="14"/>
    </row>
    <row r="199" spans="1:3">
      <c r="A199" s="13"/>
      <c r="B199" s="12"/>
      <c r="C199" s="14"/>
    </row>
    <row r="200" spans="1:3">
      <c r="A200" s="13"/>
      <c r="B200" s="12"/>
      <c r="C200" s="14"/>
    </row>
    <row r="201" spans="1:3">
      <c r="A201" s="13"/>
      <c r="B201" s="12"/>
      <c r="C201" s="14"/>
    </row>
    <row r="202" spans="1:3" ht="15.5">
      <c r="A202" s="8"/>
      <c r="B202" s="9"/>
      <c r="C202" s="3"/>
    </row>
    <row r="203" spans="1:3" ht="15.5">
      <c r="A203" s="8"/>
      <c r="B203" s="9"/>
      <c r="C203" s="3"/>
    </row>
    <row r="204" spans="1:3" ht="15.5">
      <c r="A204" s="8"/>
      <c r="B204" s="9"/>
      <c r="C204" s="3"/>
    </row>
    <row r="205" spans="1:3" ht="15.5">
      <c r="A205" s="8"/>
      <c r="B205" s="9"/>
      <c r="C205" s="3"/>
    </row>
  </sheetData>
  <mergeCells count="2">
    <mergeCell ref="A1:C1"/>
    <mergeCell ref="G2:H2"/>
  </mergeCells>
  <pageMargins left="0.7" right="0.7" top="0.75" bottom="0.75" header="0.511811023622047" footer="0.511811023622047"/>
  <pageSetup orientation="portrait" horizontalDpi="300" verticalDpi="30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2"/>
  <sheetViews>
    <sheetView topLeftCell="A40" zoomScaleNormal="100" workbookViewId="0">
      <selection activeCell="C12" sqref="C12"/>
    </sheetView>
  </sheetViews>
  <sheetFormatPr baseColWidth="10" defaultColWidth="8.7265625" defaultRowHeight="14.5"/>
  <cols>
    <col min="1" max="1" width="7.54296875" customWidth="1"/>
    <col min="2" max="2" width="12.54296875" style="2" customWidth="1"/>
    <col min="3" max="3" width="25.1796875" customWidth="1"/>
    <col min="4" max="4" width="11.81640625" customWidth="1"/>
    <col min="5" max="5" width="11.453125" customWidth="1"/>
    <col min="6" max="6" width="30.453125" customWidth="1"/>
    <col min="7" max="7" width="25.81640625" style="2" customWidth="1"/>
    <col min="8" max="8" width="15.1796875" customWidth="1"/>
    <col min="9" max="9" width="11.1796875" style="2" customWidth="1"/>
    <col min="10" max="10" width="14.81640625" customWidth="1"/>
  </cols>
  <sheetData>
    <row r="1" spans="1:8" ht="15.5">
      <c r="A1" s="209" t="s">
        <v>0</v>
      </c>
      <c r="B1" s="209"/>
      <c r="C1" s="209"/>
      <c r="D1" s="3"/>
      <c r="E1" s="4"/>
      <c r="F1" s="4"/>
      <c r="G1" s="5"/>
      <c r="H1" s="5"/>
    </row>
    <row r="2" spans="1:8" ht="15.5">
      <c r="A2" s="6" t="s">
        <v>1</v>
      </c>
      <c r="B2" s="7" t="s">
        <v>2</v>
      </c>
      <c r="C2" s="6" t="s">
        <v>3</v>
      </c>
      <c r="D2" s="3"/>
      <c r="E2" s="4"/>
      <c r="F2" s="4"/>
      <c r="G2" s="210" t="s">
        <v>4</v>
      </c>
      <c r="H2" s="210"/>
    </row>
    <row r="3" spans="1:8" ht="15.5">
      <c r="A3" s="8">
        <v>45170</v>
      </c>
      <c r="B3" s="9">
        <v>33462</v>
      </c>
      <c r="C3" s="3" t="s">
        <v>239</v>
      </c>
      <c r="D3" s="3"/>
      <c r="E3" s="4"/>
      <c r="F3" s="4"/>
      <c r="G3" s="9" t="s">
        <v>6</v>
      </c>
      <c r="H3" s="9">
        <v>20000</v>
      </c>
    </row>
    <row r="4" spans="1:8" ht="15.5">
      <c r="A4" s="8">
        <v>45170</v>
      </c>
      <c r="B4" s="2">
        <v>350</v>
      </c>
      <c r="C4" t="s">
        <v>240</v>
      </c>
      <c r="E4" s="4"/>
      <c r="F4" s="4"/>
      <c r="G4" s="9" t="s">
        <v>7</v>
      </c>
      <c r="H4" s="9">
        <v>30000</v>
      </c>
    </row>
    <row r="5" spans="1:8" ht="15.5">
      <c r="A5" s="8">
        <v>45170</v>
      </c>
      <c r="B5" s="9">
        <v>17</v>
      </c>
      <c r="C5" s="3" t="s">
        <v>241</v>
      </c>
      <c r="D5" s="3"/>
      <c r="E5" s="4"/>
      <c r="F5" s="4"/>
      <c r="G5" s="9" t="s">
        <v>9</v>
      </c>
      <c r="H5" s="9">
        <v>40000</v>
      </c>
    </row>
    <row r="6" spans="1:8" ht="15.5">
      <c r="A6" s="8">
        <v>45170</v>
      </c>
      <c r="B6" s="9">
        <v>10045</v>
      </c>
      <c r="C6" s="3" t="s">
        <v>242</v>
      </c>
      <c r="D6" s="3"/>
      <c r="E6" s="4"/>
      <c r="F6" s="4"/>
      <c r="G6" s="9" t="s">
        <v>11</v>
      </c>
      <c r="H6" s="9">
        <v>5000</v>
      </c>
    </row>
    <row r="7" spans="1:8" ht="15.5">
      <c r="A7" s="8">
        <v>45170</v>
      </c>
      <c r="B7" s="9">
        <v>66000</v>
      </c>
      <c r="C7" s="3" t="s">
        <v>243</v>
      </c>
      <c r="D7" s="3"/>
      <c r="E7" s="4"/>
      <c r="F7" s="4"/>
      <c r="G7" s="9"/>
      <c r="H7" s="9"/>
    </row>
    <row r="8" spans="1:8" ht="15.5">
      <c r="A8" s="8">
        <v>45170</v>
      </c>
      <c r="B8" s="9">
        <v>47000</v>
      </c>
      <c r="C8" s="3" t="s">
        <v>244</v>
      </c>
      <c r="D8" s="10">
        <f>+B8+B7</f>
        <v>113000</v>
      </c>
      <c r="E8" s="4"/>
      <c r="F8" s="4"/>
      <c r="G8" s="9" t="s">
        <v>13</v>
      </c>
      <c r="H8" s="9">
        <v>3000</v>
      </c>
    </row>
    <row r="9" spans="1:8" ht="15.5">
      <c r="A9" s="8">
        <v>45171</v>
      </c>
      <c r="B9" s="12">
        <v>-30000</v>
      </c>
      <c r="C9" s="14" t="s">
        <v>358</v>
      </c>
      <c r="D9" s="22">
        <f t="shared" ref="D9:D23" si="0">+D8+B9</f>
        <v>83000</v>
      </c>
      <c r="E9" s="4">
        <v>105000</v>
      </c>
      <c r="F9" s="4" t="s">
        <v>104</v>
      </c>
      <c r="G9" s="9" t="s">
        <v>15</v>
      </c>
      <c r="H9" s="9">
        <v>5000</v>
      </c>
    </row>
    <row r="10" spans="1:8" ht="15.5">
      <c r="A10" s="8">
        <v>45171</v>
      </c>
      <c r="B10" s="12">
        <v>-1000</v>
      </c>
      <c r="C10" s="14" t="s">
        <v>359</v>
      </c>
      <c r="D10" s="22">
        <f t="shared" si="0"/>
        <v>82000</v>
      </c>
      <c r="E10" s="4">
        <v>12000</v>
      </c>
      <c r="F10" s="4" t="s">
        <v>106</v>
      </c>
      <c r="G10" s="9" t="s">
        <v>18</v>
      </c>
      <c r="H10" s="9">
        <v>1500</v>
      </c>
    </row>
    <row r="11" spans="1:8" ht="15.5">
      <c r="A11" s="8">
        <v>45170</v>
      </c>
      <c r="B11" s="9">
        <v>-700</v>
      </c>
      <c r="C11" s="3" t="s">
        <v>37</v>
      </c>
      <c r="D11" s="22">
        <f t="shared" si="0"/>
        <v>81300</v>
      </c>
      <c r="E11" s="4">
        <v>8000</v>
      </c>
      <c r="F11" s="4" t="s">
        <v>106</v>
      </c>
      <c r="G11" s="9" t="s">
        <v>19</v>
      </c>
      <c r="H11" s="9">
        <v>10000</v>
      </c>
    </row>
    <row r="12" spans="1:8" ht="15.5">
      <c r="A12" s="8">
        <v>45171</v>
      </c>
      <c r="B12" s="2">
        <v>-3436</v>
      </c>
      <c r="C12" s="16" t="s">
        <v>6</v>
      </c>
      <c r="D12" s="22">
        <f t="shared" si="0"/>
        <v>77864</v>
      </c>
      <c r="E12" s="4">
        <v>15000</v>
      </c>
      <c r="F12" s="4" t="s">
        <v>34</v>
      </c>
      <c r="G12" s="9" t="s">
        <v>21</v>
      </c>
      <c r="H12" s="9">
        <v>1500</v>
      </c>
    </row>
    <row r="13" spans="1:8" ht="15.5">
      <c r="A13" s="8">
        <v>45174</v>
      </c>
      <c r="B13" s="12">
        <v>-44400</v>
      </c>
      <c r="C13" s="14" t="s">
        <v>360</v>
      </c>
      <c r="D13" s="22">
        <f t="shared" si="0"/>
        <v>33464</v>
      </c>
      <c r="E13" s="4"/>
      <c r="F13" s="4"/>
      <c r="G13" s="9" t="s">
        <v>23</v>
      </c>
      <c r="H13" s="9">
        <v>25000</v>
      </c>
    </row>
    <row r="14" spans="1:8" ht="15.5">
      <c r="A14" s="8">
        <v>45174</v>
      </c>
      <c r="B14" s="12">
        <v>-7085</v>
      </c>
      <c r="C14" s="14" t="s">
        <v>360</v>
      </c>
      <c r="D14" s="22">
        <f t="shared" si="0"/>
        <v>26379</v>
      </c>
      <c r="E14" s="4"/>
      <c r="F14" s="4"/>
      <c r="G14" s="9" t="s">
        <v>25</v>
      </c>
      <c r="H14" s="9">
        <v>1500</v>
      </c>
    </row>
    <row r="15" spans="1:8" ht="15.5">
      <c r="A15" s="8">
        <v>45174</v>
      </c>
      <c r="B15" s="12">
        <v>-1250</v>
      </c>
      <c r="C15" s="14" t="s">
        <v>360</v>
      </c>
      <c r="D15" s="22">
        <f t="shared" si="0"/>
        <v>25129</v>
      </c>
      <c r="E15" s="4"/>
      <c r="F15" s="4"/>
      <c r="G15" s="9"/>
      <c r="H15" s="9"/>
    </row>
    <row r="16" spans="1:8" ht="15.5">
      <c r="A16" s="8">
        <v>45173</v>
      </c>
      <c r="B16" s="12">
        <f>-836*56</f>
        <v>-46816</v>
      </c>
      <c r="C16" s="14" t="s">
        <v>200</v>
      </c>
      <c r="D16" s="22">
        <f t="shared" si="0"/>
        <v>-21687</v>
      </c>
      <c r="E16" s="4">
        <f>SUM(E9:E15)</f>
        <v>140000</v>
      </c>
      <c r="F16" s="4"/>
      <c r="G16" s="9"/>
      <c r="H16" s="9"/>
    </row>
    <row r="17" spans="1:8" ht="15.5">
      <c r="A17" s="8">
        <v>45174</v>
      </c>
      <c r="B17" s="9">
        <f>-350*56</f>
        <v>-19600</v>
      </c>
      <c r="C17" s="3" t="s">
        <v>361</v>
      </c>
      <c r="D17" s="22">
        <f t="shared" si="0"/>
        <v>-41287</v>
      </c>
      <c r="E17" s="4"/>
      <c r="F17" s="4"/>
      <c r="G17" s="15" t="s">
        <v>27</v>
      </c>
      <c r="H17" s="15">
        <f>SUM(H3:H15)</f>
        <v>142500</v>
      </c>
    </row>
    <row r="18" spans="1:8" ht="15.5">
      <c r="A18" s="8">
        <v>45176</v>
      </c>
      <c r="B18" s="9">
        <v>-2300</v>
      </c>
      <c r="C18" s="3" t="s">
        <v>37</v>
      </c>
      <c r="D18" s="22">
        <f t="shared" si="0"/>
        <v>-43587</v>
      </c>
      <c r="E18" s="4"/>
      <c r="F18" s="4"/>
      <c r="G18" s="5" t="s">
        <v>29</v>
      </c>
      <c r="H18" s="5">
        <f>+H17/54</f>
        <v>2638.8888888888887</v>
      </c>
    </row>
    <row r="19" spans="1:8" ht="15.5">
      <c r="A19" s="8">
        <v>45177</v>
      </c>
      <c r="B19" s="9">
        <v>-10000</v>
      </c>
      <c r="C19" s="3" t="s">
        <v>362</v>
      </c>
      <c r="D19" s="22">
        <f t="shared" si="0"/>
        <v>-53587</v>
      </c>
      <c r="E19" s="4"/>
      <c r="F19" s="4"/>
      <c r="G19" s="5"/>
      <c r="H19" s="5"/>
    </row>
    <row r="20" spans="1:8" ht="15.5">
      <c r="A20" s="8">
        <v>45146</v>
      </c>
      <c r="B20" s="9">
        <v>-1500</v>
      </c>
      <c r="C20" s="3" t="s">
        <v>363</v>
      </c>
      <c r="D20" s="22">
        <f t="shared" si="0"/>
        <v>-55087</v>
      </c>
      <c r="E20" s="4"/>
      <c r="F20" s="4"/>
      <c r="G20" s="5"/>
      <c r="H20" s="5"/>
    </row>
    <row r="21" spans="1:8" ht="15.5">
      <c r="A21" s="8">
        <v>45178</v>
      </c>
      <c r="B21" s="9">
        <v>-10000</v>
      </c>
      <c r="C21" s="3" t="s">
        <v>364</v>
      </c>
      <c r="D21" s="22">
        <f t="shared" si="0"/>
        <v>-65087</v>
      </c>
      <c r="E21" s="4"/>
      <c r="F21" s="4"/>
      <c r="G21" s="5" t="s">
        <v>77</v>
      </c>
      <c r="H21" s="5"/>
    </row>
    <row r="22" spans="1:8" ht="15.5">
      <c r="A22" s="8">
        <v>45179</v>
      </c>
      <c r="B22" s="9">
        <v>-1355</v>
      </c>
      <c r="C22" s="3" t="s">
        <v>190</v>
      </c>
      <c r="D22" s="22">
        <f t="shared" si="0"/>
        <v>-66442</v>
      </c>
      <c r="E22" s="4"/>
      <c r="F22" s="4"/>
      <c r="G22" s="5" t="s">
        <v>78</v>
      </c>
      <c r="H22" s="5">
        <f>1100*55</f>
        <v>60500</v>
      </c>
    </row>
    <row r="23" spans="1:8" ht="15.5">
      <c r="A23" s="8">
        <v>45179</v>
      </c>
      <c r="B23" s="2">
        <v>-3000</v>
      </c>
      <c r="C23" s="18" t="s">
        <v>365</v>
      </c>
      <c r="D23" s="22">
        <f t="shared" si="0"/>
        <v>-69442</v>
      </c>
      <c r="E23" s="4"/>
      <c r="F23" s="4"/>
      <c r="G23" s="5" t="s">
        <v>79</v>
      </c>
      <c r="H23" s="5">
        <v>27000</v>
      </c>
    </row>
    <row r="24" spans="1:8" ht="15.5">
      <c r="A24" s="8">
        <v>45182</v>
      </c>
      <c r="B24" s="9">
        <v>-2800</v>
      </c>
      <c r="C24" s="3" t="s">
        <v>114</v>
      </c>
      <c r="D24" s="22">
        <f>+D22+B24</f>
        <v>-69242</v>
      </c>
      <c r="E24" s="4"/>
      <c r="F24" s="4"/>
      <c r="G24" s="5"/>
      <c r="H24" s="5"/>
    </row>
    <row r="25" spans="1:8" ht="15.5">
      <c r="A25" s="8">
        <v>45182</v>
      </c>
      <c r="B25" s="9">
        <v>-37000</v>
      </c>
      <c r="C25" s="3" t="s">
        <v>362</v>
      </c>
      <c r="D25" s="22">
        <f t="shared" ref="D25:D56" si="1">+D24+B25</f>
        <v>-106242</v>
      </c>
      <c r="E25" s="4"/>
      <c r="F25" s="4"/>
      <c r="G25" s="5" t="s">
        <v>27</v>
      </c>
      <c r="H25" s="17">
        <f>SUM(H22:H24)</f>
        <v>87500</v>
      </c>
    </row>
    <row r="26" spans="1:8" ht="15.5">
      <c r="A26" s="8">
        <v>45183</v>
      </c>
      <c r="B26" s="9">
        <v>-3500</v>
      </c>
      <c r="C26" s="3" t="s">
        <v>72</v>
      </c>
      <c r="D26" s="22">
        <f t="shared" si="1"/>
        <v>-109742</v>
      </c>
      <c r="E26" s="4"/>
      <c r="F26" s="4"/>
      <c r="G26" s="5"/>
      <c r="H26" s="4"/>
    </row>
    <row r="27" spans="1:8" ht="15.5">
      <c r="A27" s="8">
        <v>45183</v>
      </c>
      <c r="B27" s="9">
        <v>-1000</v>
      </c>
      <c r="C27" s="3" t="s">
        <v>338</v>
      </c>
      <c r="D27" s="22">
        <f t="shared" si="1"/>
        <v>-110742</v>
      </c>
      <c r="E27" s="4"/>
      <c r="F27" s="4"/>
      <c r="G27" s="5"/>
      <c r="H27" s="4"/>
    </row>
    <row r="28" spans="1:8" ht="15.5">
      <c r="A28" s="8">
        <v>45186</v>
      </c>
      <c r="B28" s="9">
        <v>-675</v>
      </c>
      <c r="C28" s="3" t="s">
        <v>366</v>
      </c>
      <c r="D28" s="22">
        <f t="shared" si="1"/>
        <v>-111417</v>
      </c>
      <c r="E28" s="4"/>
      <c r="F28" s="4" t="s">
        <v>80</v>
      </c>
      <c r="G28" s="5"/>
      <c r="H28" s="4"/>
    </row>
    <row r="29" spans="1:8" ht="15.5">
      <c r="A29" s="8">
        <v>45184</v>
      </c>
      <c r="B29" s="9">
        <v>-2000</v>
      </c>
      <c r="C29" s="3" t="s">
        <v>338</v>
      </c>
      <c r="D29" s="22">
        <f t="shared" si="1"/>
        <v>-113417</v>
      </c>
      <c r="E29" s="4"/>
      <c r="F29" s="4" t="s">
        <v>81</v>
      </c>
      <c r="G29" s="5">
        <f>4700*56</f>
        <v>263200</v>
      </c>
      <c r="H29" s="5"/>
    </row>
    <row r="30" spans="1:8" ht="15.5">
      <c r="A30" s="8">
        <v>45186</v>
      </c>
      <c r="B30" s="9">
        <v>-5000</v>
      </c>
      <c r="C30" s="3" t="s">
        <v>367</v>
      </c>
      <c r="D30" s="22">
        <f t="shared" si="1"/>
        <v>-118417</v>
      </c>
      <c r="E30" s="4"/>
      <c r="F30" s="4" t="s">
        <v>82</v>
      </c>
      <c r="G30" s="5">
        <v>10000</v>
      </c>
      <c r="H30" s="5"/>
    </row>
    <row r="31" spans="1:8" ht="15.5">
      <c r="A31" s="8">
        <v>45180</v>
      </c>
      <c r="B31" s="9">
        <v>-1654</v>
      </c>
      <c r="C31" s="3" t="s">
        <v>38</v>
      </c>
      <c r="D31" s="22">
        <f t="shared" si="1"/>
        <v>-120071</v>
      </c>
      <c r="E31" s="4"/>
      <c r="F31" s="4" t="s">
        <v>83</v>
      </c>
      <c r="G31" s="5">
        <v>25000</v>
      </c>
      <c r="H31" s="5"/>
    </row>
    <row r="32" spans="1:8" ht="15.5">
      <c r="A32" s="8">
        <v>45183</v>
      </c>
      <c r="B32" s="9">
        <v>-2545</v>
      </c>
      <c r="C32" s="3" t="s">
        <v>114</v>
      </c>
      <c r="D32" s="22">
        <f t="shared" si="1"/>
        <v>-122616</v>
      </c>
      <c r="E32" s="4"/>
      <c r="F32" s="17" t="s">
        <v>84</v>
      </c>
      <c r="G32" s="5">
        <v>35000</v>
      </c>
      <c r="H32" s="5"/>
    </row>
    <row r="33" spans="1:10" ht="15.5">
      <c r="A33" s="8">
        <v>45180</v>
      </c>
      <c r="B33" s="9">
        <v>-3441</v>
      </c>
      <c r="C33" s="3" t="s">
        <v>6</v>
      </c>
      <c r="D33" s="22">
        <f t="shared" si="1"/>
        <v>-126057</v>
      </c>
      <c r="E33" s="4"/>
      <c r="F33" s="4" t="s">
        <v>85</v>
      </c>
      <c r="G33" s="5">
        <v>9000</v>
      </c>
      <c r="H33" s="5"/>
    </row>
    <row r="34" spans="1:10" ht="15.5">
      <c r="A34" s="8">
        <v>45190</v>
      </c>
      <c r="B34" s="9">
        <v>-350</v>
      </c>
      <c r="C34" s="3" t="s">
        <v>368</v>
      </c>
      <c r="D34" s="22">
        <f t="shared" si="1"/>
        <v>-126407</v>
      </c>
      <c r="E34" s="4"/>
      <c r="F34" s="4" t="s">
        <v>86</v>
      </c>
      <c r="G34" s="5">
        <v>9000</v>
      </c>
      <c r="H34" s="5"/>
    </row>
    <row r="35" spans="1:10" ht="15.5">
      <c r="A35" s="8">
        <v>45190</v>
      </c>
      <c r="B35" s="9">
        <v>-500</v>
      </c>
      <c r="C35" s="3" t="s">
        <v>369</v>
      </c>
      <c r="D35" s="22">
        <f t="shared" si="1"/>
        <v>-126907</v>
      </c>
      <c r="E35" s="4"/>
      <c r="F35" s="4"/>
      <c r="G35" s="5"/>
      <c r="H35" s="5"/>
    </row>
    <row r="36" spans="1:10" ht="15.5">
      <c r="A36" s="8">
        <v>45190</v>
      </c>
      <c r="B36" s="9">
        <v>-1155</v>
      </c>
      <c r="C36" s="3" t="s">
        <v>370</v>
      </c>
      <c r="D36" s="22">
        <f t="shared" si="1"/>
        <v>-128062</v>
      </c>
      <c r="E36" s="4"/>
      <c r="F36" s="4"/>
      <c r="G36" s="5"/>
      <c r="H36" s="5"/>
    </row>
    <row r="37" spans="1:10" ht="15.5">
      <c r="A37" s="8">
        <v>45188</v>
      </c>
      <c r="B37" s="9">
        <v>-3409</v>
      </c>
      <c r="C37" s="3" t="s">
        <v>6</v>
      </c>
      <c r="D37" s="22">
        <f t="shared" si="1"/>
        <v>-131471</v>
      </c>
      <c r="E37" s="4"/>
      <c r="F37" s="4"/>
      <c r="G37" s="5"/>
      <c r="H37" s="5"/>
    </row>
    <row r="38" spans="1:10" ht="15.5">
      <c r="A38" s="13">
        <v>45187</v>
      </c>
      <c r="B38" s="12">
        <v>-2192</v>
      </c>
      <c r="C38" s="3" t="s">
        <v>371</v>
      </c>
      <c r="D38" s="22">
        <f t="shared" si="1"/>
        <v>-133663</v>
      </c>
      <c r="E38" s="4"/>
      <c r="F38" s="4"/>
      <c r="G38" s="5"/>
      <c r="H38" s="5"/>
    </row>
    <row r="39" spans="1:10" ht="15.5">
      <c r="A39" s="8">
        <v>45190</v>
      </c>
      <c r="B39" s="9">
        <v>-2600</v>
      </c>
      <c r="C39" s="3" t="s">
        <v>372</v>
      </c>
      <c r="D39" s="22">
        <f t="shared" si="1"/>
        <v>-136263</v>
      </c>
      <c r="E39" s="4"/>
      <c r="F39" s="4"/>
      <c r="G39" s="5"/>
      <c r="H39" s="5"/>
      <c r="J39" s="2"/>
    </row>
    <row r="40" spans="1:10" ht="15.5">
      <c r="A40" s="8">
        <v>45190</v>
      </c>
      <c r="B40" s="9">
        <v>-3304</v>
      </c>
      <c r="C40" s="3" t="s">
        <v>373</v>
      </c>
      <c r="D40" s="22">
        <f t="shared" si="1"/>
        <v>-139567</v>
      </c>
      <c r="E40" s="4"/>
      <c r="F40" s="4"/>
      <c r="G40" s="5"/>
      <c r="H40" s="5"/>
    </row>
    <row r="41" spans="1:10" ht="15.5">
      <c r="A41" s="8">
        <v>45192</v>
      </c>
      <c r="B41" s="9">
        <v>-5000</v>
      </c>
      <c r="C41" s="3" t="s">
        <v>374</v>
      </c>
      <c r="D41" s="22">
        <f t="shared" si="1"/>
        <v>-144567</v>
      </c>
      <c r="E41" s="4"/>
      <c r="F41" s="4"/>
      <c r="G41" s="5">
        <f>SUM(G29:G40)</f>
        <v>351200</v>
      </c>
      <c r="H41" s="5"/>
    </row>
    <row r="42" spans="1:10" ht="15.5">
      <c r="A42" s="8">
        <v>45191</v>
      </c>
      <c r="B42" s="9">
        <v>-3200</v>
      </c>
      <c r="C42" s="3" t="s">
        <v>37</v>
      </c>
      <c r="D42" s="22">
        <f t="shared" si="1"/>
        <v>-147767</v>
      </c>
      <c r="E42" s="4"/>
      <c r="F42" s="4"/>
      <c r="G42" s="5"/>
      <c r="H42" s="5"/>
      <c r="J42" s="11"/>
    </row>
    <row r="43" spans="1:10" ht="15.5">
      <c r="A43" s="8">
        <v>45192</v>
      </c>
      <c r="B43" s="9">
        <v>-12591</v>
      </c>
      <c r="C43" s="3" t="s">
        <v>37</v>
      </c>
      <c r="D43" s="22">
        <f t="shared" si="1"/>
        <v>-160358</v>
      </c>
      <c r="E43" s="4"/>
      <c r="F43" s="4"/>
      <c r="G43" s="5"/>
      <c r="H43" s="5"/>
    </row>
    <row r="44" spans="1:10" ht="15.5">
      <c r="A44" s="23">
        <v>45196</v>
      </c>
      <c r="B44" s="5">
        <v>-3000</v>
      </c>
      <c r="C44" s="18" t="s">
        <v>233</v>
      </c>
      <c r="D44" s="22">
        <f t="shared" si="1"/>
        <v>-163358</v>
      </c>
      <c r="E44" s="4"/>
      <c r="F44" s="4"/>
      <c r="G44" s="5"/>
      <c r="H44" s="5"/>
    </row>
    <row r="45" spans="1:10" ht="15.5">
      <c r="A45" s="8">
        <v>45196</v>
      </c>
      <c r="B45" s="9">
        <v>-758</v>
      </c>
      <c r="C45" s="3" t="s">
        <v>375</v>
      </c>
      <c r="D45" s="22">
        <f t="shared" si="1"/>
        <v>-164116</v>
      </c>
      <c r="E45" s="4"/>
      <c r="F45" s="4"/>
      <c r="G45" s="5"/>
      <c r="H45" s="5"/>
    </row>
    <row r="46" spans="1:10" ht="15.5">
      <c r="A46" s="8">
        <v>45194</v>
      </c>
      <c r="B46" s="9">
        <v>-2195</v>
      </c>
      <c r="C46" s="3" t="s">
        <v>37</v>
      </c>
      <c r="D46" s="22">
        <f t="shared" si="1"/>
        <v>-166311</v>
      </c>
      <c r="E46" s="4"/>
      <c r="F46" s="17"/>
      <c r="G46" s="5"/>
      <c r="H46" s="5"/>
    </row>
    <row r="47" spans="1:10" ht="15.5">
      <c r="A47" s="23">
        <v>45191</v>
      </c>
      <c r="B47" s="5">
        <v>-3880</v>
      </c>
      <c r="C47" s="18" t="s">
        <v>360</v>
      </c>
      <c r="D47" s="22">
        <f t="shared" si="1"/>
        <v>-170191</v>
      </c>
      <c r="E47" s="4"/>
      <c r="F47" s="4"/>
      <c r="G47" s="5"/>
      <c r="H47" s="5"/>
    </row>
    <row r="48" spans="1:10" ht="15.5">
      <c r="A48" s="13">
        <v>45199</v>
      </c>
      <c r="B48" s="12">
        <v>-700</v>
      </c>
      <c r="C48" s="3" t="s">
        <v>376</v>
      </c>
      <c r="D48" s="22">
        <f t="shared" si="1"/>
        <v>-170891</v>
      </c>
      <c r="E48" s="4"/>
      <c r="F48" s="4"/>
      <c r="G48" s="5"/>
      <c r="H48" s="5"/>
    </row>
    <row r="49" spans="1:10" ht="15.5">
      <c r="A49" s="8"/>
      <c r="B49" s="9"/>
      <c r="C49" s="3"/>
      <c r="D49" s="22">
        <f t="shared" si="1"/>
        <v>-170891</v>
      </c>
      <c r="E49" s="4"/>
      <c r="F49" s="4"/>
      <c r="G49" s="5"/>
      <c r="H49" s="5"/>
    </row>
    <row r="50" spans="1:10" ht="15.5">
      <c r="A50" s="8"/>
      <c r="B50" s="9">
        <f>SUM(B9:B49)</f>
        <v>-286891</v>
      </c>
      <c r="C50" s="3"/>
      <c r="D50" s="22">
        <f t="shared" si="1"/>
        <v>-457782</v>
      </c>
      <c r="E50" s="4"/>
      <c r="F50" s="4"/>
      <c r="G50" s="5"/>
      <c r="H50" s="5"/>
    </row>
    <row r="51" spans="1:10" ht="15.5">
      <c r="A51" s="8"/>
      <c r="B51" s="9"/>
      <c r="C51" s="3"/>
      <c r="D51" s="22">
        <f t="shared" si="1"/>
        <v>-457782</v>
      </c>
      <c r="E51" s="4"/>
      <c r="F51" s="4"/>
      <c r="G51" s="5"/>
      <c r="H51" s="5"/>
      <c r="J51" s="11">
        <v>284865</v>
      </c>
    </row>
    <row r="52" spans="1:10" ht="15.5">
      <c r="A52" s="8"/>
      <c r="B52" s="9"/>
      <c r="C52" s="3"/>
      <c r="D52" s="22">
        <f t="shared" si="1"/>
        <v>-457782</v>
      </c>
      <c r="E52" s="4"/>
      <c r="F52" s="4" t="s">
        <v>39</v>
      </c>
      <c r="G52" s="2">
        <v>385000</v>
      </c>
      <c r="H52" s="5"/>
    </row>
    <row r="53" spans="1:10" ht="15.5">
      <c r="A53" s="8"/>
      <c r="B53" s="9"/>
      <c r="C53" s="3"/>
      <c r="D53" s="22">
        <f t="shared" si="1"/>
        <v>-457782</v>
      </c>
      <c r="E53" s="4"/>
      <c r="F53" s="4" t="s">
        <v>41</v>
      </c>
      <c r="G53" s="2">
        <v>-3133.64</v>
      </c>
      <c r="H53" s="5"/>
    </row>
    <row r="54" spans="1:10" ht="15.5">
      <c r="A54" s="8"/>
      <c r="B54" s="9"/>
      <c r="C54" s="3"/>
      <c r="D54" s="22">
        <f t="shared" si="1"/>
        <v>-457782</v>
      </c>
      <c r="E54" s="4"/>
      <c r="F54" s="19" t="s">
        <v>43</v>
      </c>
      <c r="G54" s="2">
        <v>-368.66</v>
      </c>
      <c r="H54" s="5"/>
    </row>
    <row r="55" spans="1:10" ht="15.5">
      <c r="A55" s="8"/>
      <c r="B55" s="9"/>
      <c r="C55" s="3"/>
      <c r="D55" s="22">
        <f t="shared" si="1"/>
        <v>-457782</v>
      </c>
      <c r="E55" s="4"/>
      <c r="F55" s="4" t="s">
        <v>44</v>
      </c>
      <c r="G55" s="2">
        <v>-1163.1300000000001</v>
      </c>
      <c r="H55" s="5"/>
    </row>
    <row r="56" spans="1:10" ht="15.5">
      <c r="A56" s="8"/>
      <c r="B56" s="9"/>
      <c r="C56" s="3"/>
      <c r="D56" s="22">
        <f t="shared" si="1"/>
        <v>-457782</v>
      </c>
      <c r="E56" s="4"/>
      <c r="F56" s="4" t="s">
        <v>45</v>
      </c>
      <c r="G56" s="2">
        <v>-553</v>
      </c>
      <c r="H56" s="5"/>
    </row>
    <row r="57" spans="1:10" ht="15.5">
      <c r="A57" s="8"/>
      <c r="B57" s="9"/>
      <c r="C57" s="3"/>
      <c r="D57" s="22">
        <f t="shared" ref="D57:D83" si="2">+D56+B57</f>
        <v>-457782</v>
      </c>
      <c r="E57" s="4"/>
      <c r="F57" s="4" t="s">
        <v>46</v>
      </c>
      <c r="G57" s="2">
        <v>-553</v>
      </c>
      <c r="H57" s="5"/>
    </row>
    <row r="58" spans="1:10" ht="15.5">
      <c r="A58" s="8"/>
      <c r="B58" s="9"/>
      <c r="C58" s="3"/>
      <c r="D58" s="22">
        <f t="shared" si="2"/>
        <v>-457782</v>
      </c>
      <c r="E58" s="4"/>
      <c r="F58" s="4" t="s">
        <v>47</v>
      </c>
      <c r="G58" s="2">
        <v>-553</v>
      </c>
      <c r="H58" s="5"/>
    </row>
    <row r="59" spans="1:10" ht="15.5">
      <c r="A59" s="8"/>
      <c r="B59" s="9"/>
      <c r="C59" s="3"/>
      <c r="D59" s="22">
        <f t="shared" si="2"/>
        <v>-457782</v>
      </c>
      <c r="E59" s="4"/>
      <c r="H59" s="5"/>
    </row>
    <row r="60" spans="1:10" ht="15.5">
      <c r="A60" s="8"/>
      <c r="B60" s="9"/>
      <c r="C60" s="3"/>
      <c r="D60" s="22">
        <f t="shared" si="2"/>
        <v>-457782</v>
      </c>
      <c r="E60" s="4"/>
      <c r="F60" s="4" t="s">
        <v>48</v>
      </c>
      <c r="G60" s="2">
        <f>SUM(G52:G58)</f>
        <v>378675.57</v>
      </c>
      <c r="H60" s="5"/>
    </row>
    <row r="61" spans="1:10" ht="15.5">
      <c r="A61" s="8"/>
      <c r="B61" s="9"/>
      <c r="C61" s="3"/>
      <c r="D61" s="22">
        <f t="shared" si="2"/>
        <v>-457782</v>
      </c>
      <c r="E61" s="4"/>
      <c r="F61" s="4" t="s">
        <v>49</v>
      </c>
      <c r="G61" s="2">
        <f>+G60*0.25</f>
        <v>94668.892500000002</v>
      </c>
      <c r="H61" s="5"/>
    </row>
    <row r="62" spans="1:10" ht="15.5">
      <c r="A62" s="8"/>
      <c r="B62" s="9"/>
      <c r="C62" s="3"/>
      <c r="D62" s="22">
        <f t="shared" si="2"/>
        <v>-457782</v>
      </c>
      <c r="E62" s="4"/>
      <c r="F62" s="4" t="s">
        <v>50</v>
      </c>
      <c r="G62" s="5">
        <v>-90000</v>
      </c>
      <c r="H62" s="5"/>
      <c r="J62" s="2"/>
    </row>
    <row r="63" spans="1:10" ht="15.5">
      <c r="A63" s="8"/>
      <c r="B63" s="9"/>
      <c r="C63" s="3"/>
      <c r="D63" s="22">
        <f t="shared" si="2"/>
        <v>-457782</v>
      </c>
      <c r="E63" s="4"/>
      <c r="F63" s="4" t="s">
        <v>52</v>
      </c>
      <c r="G63" s="5">
        <f>SUM(G61:G62)</f>
        <v>4668.8925000000017</v>
      </c>
      <c r="H63" s="5"/>
    </row>
    <row r="64" spans="1:10" ht="15.5">
      <c r="A64" s="8"/>
      <c r="B64" s="9"/>
      <c r="C64" s="3"/>
      <c r="D64" s="22">
        <f t="shared" si="2"/>
        <v>-457782</v>
      </c>
      <c r="E64" s="4"/>
      <c r="F64" s="4"/>
      <c r="G64" s="5"/>
      <c r="H64" s="5"/>
    </row>
    <row r="65" spans="1:10" ht="15.5">
      <c r="A65" s="8"/>
      <c r="B65" s="9"/>
      <c r="C65" s="3"/>
      <c r="D65" s="22">
        <f t="shared" si="2"/>
        <v>-457782</v>
      </c>
      <c r="E65" s="4"/>
      <c r="F65" s="4"/>
      <c r="G65" s="5"/>
      <c r="H65" s="5"/>
      <c r="J65" s="11"/>
    </row>
    <row r="66" spans="1:10" ht="15.5">
      <c r="A66" s="8"/>
      <c r="B66" s="9"/>
      <c r="C66" s="3"/>
      <c r="D66" s="22">
        <f t="shared" si="2"/>
        <v>-457782</v>
      </c>
      <c r="E66" s="4"/>
      <c r="F66" s="4"/>
      <c r="G66" s="5"/>
      <c r="H66" s="5"/>
    </row>
    <row r="67" spans="1:10" ht="15.5">
      <c r="A67" s="8"/>
      <c r="B67" s="9"/>
      <c r="C67" s="3"/>
      <c r="D67" s="22">
        <f t="shared" si="2"/>
        <v>-457782</v>
      </c>
      <c r="E67" s="4"/>
      <c r="F67" s="4"/>
      <c r="G67" s="5"/>
      <c r="H67" s="5">
        <v>284865</v>
      </c>
    </row>
    <row r="68" spans="1:10" ht="15.5">
      <c r="A68" s="8"/>
      <c r="B68" s="9"/>
      <c r="C68" s="3"/>
      <c r="D68" s="22">
        <f t="shared" si="2"/>
        <v>-457782</v>
      </c>
      <c r="E68" s="4"/>
      <c r="F68" s="4"/>
      <c r="G68" s="5"/>
      <c r="H68" s="5">
        <v>90000</v>
      </c>
    </row>
    <row r="69" spans="1:10" ht="15.5">
      <c r="A69" s="8"/>
      <c r="B69" s="9"/>
      <c r="C69" s="3"/>
      <c r="D69" s="22">
        <f t="shared" si="2"/>
        <v>-457782</v>
      </c>
      <c r="E69" s="4"/>
      <c r="F69" s="17">
        <f>SUM(B27:B67)</f>
        <v>-348040</v>
      </c>
      <c r="G69" s="5"/>
      <c r="H69" s="5">
        <v>5000</v>
      </c>
    </row>
    <row r="70" spans="1:10" ht="15.5">
      <c r="A70" s="8"/>
      <c r="B70" s="9"/>
      <c r="C70" s="3"/>
      <c r="D70" s="22">
        <f t="shared" si="2"/>
        <v>-457782</v>
      </c>
      <c r="E70" s="4"/>
      <c r="F70" s="4"/>
      <c r="G70" s="5"/>
      <c r="H70" s="5">
        <f>SUM(H67:H69)</f>
        <v>379865</v>
      </c>
    </row>
    <row r="71" spans="1:10" ht="15.5">
      <c r="A71" s="8"/>
      <c r="B71" s="12"/>
      <c r="C71" s="14"/>
      <c r="D71" s="22">
        <f t="shared" si="2"/>
        <v>-457782</v>
      </c>
      <c r="E71" s="4"/>
      <c r="F71" s="4"/>
      <c r="G71" s="5"/>
      <c r="H71" s="5"/>
    </row>
    <row r="72" spans="1:10" ht="15.5">
      <c r="A72" s="13"/>
      <c r="C72" s="16"/>
      <c r="D72" s="22">
        <f t="shared" si="2"/>
        <v>-457782</v>
      </c>
      <c r="E72" s="4"/>
      <c r="F72" s="4"/>
      <c r="G72" s="5"/>
      <c r="H72" s="5"/>
    </row>
    <row r="73" spans="1:10" ht="15.5">
      <c r="A73" s="13"/>
      <c r="B73" s="12"/>
      <c r="C73" s="14"/>
      <c r="D73" s="22">
        <f t="shared" si="2"/>
        <v>-457782</v>
      </c>
      <c r="E73" s="4"/>
      <c r="F73" s="4"/>
      <c r="G73" s="5"/>
      <c r="H73" s="5"/>
    </row>
    <row r="74" spans="1:10" ht="15.5">
      <c r="A74" s="13"/>
      <c r="B74" s="12"/>
      <c r="C74" s="14"/>
      <c r="D74" s="22">
        <f t="shared" si="2"/>
        <v>-457782</v>
      </c>
      <c r="E74" s="4"/>
      <c r="F74" s="4"/>
      <c r="G74" s="5"/>
      <c r="H74" s="5"/>
    </row>
    <row r="75" spans="1:10" ht="15.5">
      <c r="A75" s="13"/>
      <c r="B75" s="12"/>
      <c r="C75" s="14"/>
      <c r="D75" s="22">
        <f t="shared" si="2"/>
        <v>-457782</v>
      </c>
      <c r="E75" s="4"/>
      <c r="F75" s="4"/>
      <c r="G75" s="5"/>
      <c r="H75" s="5"/>
    </row>
    <row r="76" spans="1:10" ht="15.5">
      <c r="A76" s="13"/>
      <c r="B76" s="12"/>
      <c r="C76" s="14"/>
      <c r="D76" s="22">
        <f t="shared" si="2"/>
        <v>-457782</v>
      </c>
      <c r="E76" s="4"/>
      <c r="F76" s="4"/>
      <c r="G76" s="5"/>
      <c r="H76" s="5"/>
    </row>
    <row r="77" spans="1:10" ht="15.5">
      <c r="A77" s="13"/>
      <c r="B77" s="12"/>
      <c r="C77" s="14"/>
      <c r="D77" s="22">
        <f t="shared" si="2"/>
        <v>-457782</v>
      </c>
      <c r="E77" s="4"/>
      <c r="F77" s="4"/>
      <c r="G77" s="5"/>
      <c r="H77" s="5"/>
    </row>
    <row r="78" spans="1:10" ht="15.5">
      <c r="A78" s="8"/>
      <c r="B78" s="9"/>
      <c r="C78" s="3"/>
      <c r="D78" s="22">
        <f t="shared" si="2"/>
        <v>-457782</v>
      </c>
      <c r="E78" s="4"/>
      <c r="F78" s="4"/>
      <c r="G78" s="5"/>
      <c r="H78" s="5"/>
    </row>
    <row r="79" spans="1:10" ht="15.5">
      <c r="A79" s="8"/>
      <c r="B79" s="9"/>
      <c r="C79" s="3"/>
      <c r="D79" s="22">
        <f t="shared" si="2"/>
        <v>-457782</v>
      </c>
      <c r="E79" s="4"/>
      <c r="F79" s="4"/>
      <c r="G79" s="5"/>
      <c r="H79" s="5"/>
    </row>
    <row r="80" spans="1:10" ht="15.5">
      <c r="A80" s="8"/>
      <c r="B80" s="9"/>
      <c r="C80" s="3"/>
      <c r="D80" s="22">
        <f t="shared" si="2"/>
        <v>-457782</v>
      </c>
      <c r="E80" s="4"/>
      <c r="F80" s="4"/>
      <c r="G80" s="5"/>
      <c r="H80" s="5"/>
    </row>
    <row r="81" spans="1:8" ht="15.5">
      <c r="A81" s="8"/>
      <c r="B81" s="9"/>
      <c r="C81" s="3"/>
      <c r="D81" s="22">
        <f t="shared" si="2"/>
        <v>-457782</v>
      </c>
      <c r="E81" s="4"/>
      <c r="F81" s="4"/>
      <c r="G81" s="5"/>
      <c r="H81" s="5"/>
    </row>
    <row r="82" spans="1:8" ht="15.5">
      <c r="A82" s="8"/>
      <c r="B82" s="9"/>
      <c r="C82" s="3"/>
      <c r="D82" s="22">
        <f t="shared" si="2"/>
        <v>-457782</v>
      </c>
      <c r="E82" s="4"/>
      <c r="F82" s="4"/>
      <c r="G82" s="5"/>
      <c r="H82" s="5"/>
    </row>
    <row r="83" spans="1:8" ht="15.5">
      <c r="A83" s="20"/>
      <c r="C83" s="18"/>
      <c r="D83" s="22">
        <f t="shared" si="2"/>
        <v>-457782</v>
      </c>
      <c r="E83" s="4"/>
      <c r="F83" s="4"/>
      <c r="G83" s="5"/>
      <c r="H83" s="5"/>
    </row>
    <row r="84" spans="1:8" ht="15.5">
      <c r="A84" s="8"/>
      <c r="B84" s="9"/>
      <c r="C84" s="3"/>
      <c r="D84" s="22"/>
      <c r="E84" s="4"/>
      <c r="F84" s="4"/>
      <c r="G84" s="5"/>
      <c r="H84" s="5"/>
    </row>
    <row r="85" spans="1:8" ht="15.5">
      <c r="A85" s="8"/>
      <c r="B85" s="9"/>
      <c r="C85" s="3"/>
      <c r="D85" s="22"/>
      <c r="E85" s="4"/>
      <c r="F85" s="4"/>
      <c r="G85" s="5"/>
      <c r="H85" s="5"/>
    </row>
    <row r="86" spans="1:8" ht="15.5">
      <c r="A86" s="8"/>
      <c r="B86" s="9"/>
      <c r="C86" s="3"/>
      <c r="D86" s="22"/>
      <c r="E86" s="4"/>
      <c r="F86" s="4"/>
      <c r="G86" s="5"/>
      <c r="H86" s="5"/>
    </row>
    <row r="87" spans="1:8" ht="15.5">
      <c r="A87" s="8"/>
      <c r="B87" s="9"/>
      <c r="C87" s="3"/>
      <c r="D87" s="22"/>
      <c r="E87" s="4"/>
      <c r="F87" s="4"/>
      <c r="G87" s="5"/>
      <c r="H87" s="5"/>
    </row>
    <row r="88" spans="1:8" ht="15.5">
      <c r="A88" s="8"/>
      <c r="B88" s="9"/>
      <c r="C88" s="3"/>
      <c r="D88" s="22"/>
      <c r="E88" s="4"/>
      <c r="F88" s="4"/>
      <c r="G88" s="5"/>
      <c r="H88" s="5"/>
    </row>
    <row r="89" spans="1:8" ht="15.5">
      <c r="A89" s="8"/>
      <c r="B89" s="9"/>
      <c r="C89" s="3"/>
      <c r="D89" s="22"/>
      <c r="E89" s="4"/>
      <c r="F89" s="4"/>
      <c r="G89" s="5"/>
      <c r="H89" s="5"/>
    </row>
    <row r="90" spans="1:8" ht="15.5">
      <c r="A90" s="8"/>
      <c r="B90" s="9"/>
      <c r="C90" s="3"/>
      <c r="D90" s="22"/>
      <c r="E90" s="4"/>
      <c r="F90" s="4"/>
      <c r="G90" s="5"/>
      <c r="H90" s="5"/>
    </row>
    <row r="91" spans="1:8" ht="15.5">
      <c r="A91" s="8"/>
      <c r="B91" s="9"/>
      <c r="C91" s="3"/>
      <c r="D91" s="22"/>
      <c r="E91" s="4"/>
      <c r="F91" s="4"/>
      <c r="G91" s="5"/>
      <c r="H91" s="5"/>
    </row>
    <row r="92" spans="1:8" ht="15.5">
      <c r="A92" s="8"/>
      <c r="B92" s="9"/>
      <c r="C92" s="3"/>
      <c r="D92" s="22"/>
      <c r="E92" s="4"/>
      <c r="F92" s="4"/>
      <c r="G92" s="5"/>
      <c r="H92" s="5"/>
    </row>
    <row r="93" spans="1:8" ht="15.5">
      <c r="A93" s="8"/>
      <c r="B93" s="9"/>
      <c r="C93" s="3"/>
      <c r="D93" s="22"/>
      <c r="E93" s="4"/>
      <c r="F93" s="4"/>
      <c r="G93" s="5"/>
      <c r="H93" s="5"/>
    </row>
    <row r="94" spans="1:8" ht="15.5">
      <c r="A94" s="8"/>
      <c r="B94" s="9"/>
      <c r="C94" s="3"/>
      <c r="D94" s="22"/>
      <c r="E94" s="4"/>
      <c r="F94" s="4"/>
      <c r="G94" s="5"/>
      <c r="H94" s="5"/>
    </row>
    <row r="95" spans="1:8" ht="15.5">
      <c r="A95" s="8"/>
      <c r="B95" s="9"/>
      <c r="C95" s="3"/>
      <c r="D95" s="22"/>
      <c r="E95" s="4"/>
      <c r="F95" s="4"/>
      <c r="G95" s="5"/>
      <c r="H95" s="5"/>
    </row>
    <row r="96" spans="1:8" ht="15.5">
      <c r="A96" s="8"/>
      <c r="B96" s="9"/>
      <c r="C96" s="3"/>
      <c r="D96" s="22"/>
      <c r="E96" s="4"/>
      <c r="F96" s="4"/>
      <c r="G96" s="5"/>
      <c r="H96" s="5"/>
    </row>
    <row r="97" spans="1:8" ht="15.5">
      <c r="A97" s="8"/>
      <c r="B97" s="9"/>
      <c r="C97" s="3"/>
      <c r="D97" s="22"/>
      <c r="E97" s="4"/>
      <c r="F97" s="4"/>
      <c r="G97" s="5"/>
      <c r="H97" s="5"/>
    </row>
    <row r="98" spans="1:8" ht="15.5">
      <c r="A98" s="8"/>
      <c r="B98" s="9"/>
      <c r="C98" s="3"/>
      <c r="D98" s="22"/>
      <c r="E98" s="4"/>
      <c r="F98" s="4"/>
      <c r="G98" s="5"/>
      <c r="H98" s="5"/>
    </row>
    <row r="99" spans="1:8" ht="15.5">
      <c r="A99" s="8"/>
      <c r="B99" s="9"/>
      <c r="C99" s="3"/>
      <c r="D99" s="22"/>
      <c r="E99" s="4"/>
      <c r="F99" s="4"/>
      <c r="G99" s="5"/>
      <c r="H99" s="5"/>
    </row>
    <row r="100" spans="1:8" ht="15.5">
      <c r="A100" s="13"/>
      <c r="B100" s="12"/>
      <c r="C100" s="14"/>
      <c r="D100" s="22"/>
      <c r="E100" s="4"/>
      <c r="F100" s="4"/>
      <c r="G100" s="5"/>
      <c r="H100" s="5"/>
    </row>
    <row r="101" spans="1:8" ht="15.5">
      <c r="A101" s="13"/>
      <c r="B101" s="12"/>
      <c r="C101" s="14"/>
      <c r="D101" s="22"/>
      <c r="E101" s="4"/>
      <c r="F101" s="4"/>
      <c r="G101" s="5"/>
      <c r="H101" s="5"/>
    </row>
    <row r="102" spans="1:8" ht="15.5">
      <c r="A102" s="8"/>
      <c r="B102" s="9"/>
      <c r="C102" s="3"/>
      <c r="D102" s="22"/>
      <c r="E102" s="4"/>
      <c r="F102" s="4"/>
      <c r="G102" s="5"/>
      <c r="H102" s="5"/>
    </row>
    <row r="103" spans="1:8" ht="15.5">
      <c r="A103" s="13"/>
      <c r="C103" s="16"/>
      <c r="D103" s="22"/>
      <c r="E103" s="4"/>
      <c r="F103" s="4"/>
      <c r="G103" s="5"/>
      <c r="H103" s="5"/>
    </row>
    <row r="104" spans="1:8" ht="15.5">
      <c r="A104" s="13"/>
      <c r="B104" s="12"/>
      <c r="C104" s="14"/>
      <c r="D104" s="22"/>
      <c r="E104" s="4"/>
      <c r="F104" s="4"/>
      <c r="G104" s="5"/>
      <c r="H104" s="5"/>
    </row>
    <row r="105" spans="1:8" ht="15.5">
      <c r="A105" s="13"/>
      <c r="B105" s="12"/>
      <c r="C105" s="14"/>
      <c r="D105" s="22"/>
      <c r="E105" s="4"/>
      <c r="F105" s="4"/>
      <c r="G105" s="5"/>
      <c r="H105" s="5"/>
    </row>
    <row r="106" spans="1:8" ht="15.5">
      <c r="A106" s="13"/>
      <c r="B106" s="12"/>
      <c r="C106" s="14"/>
      <c r="D106" s="22"/>
      <c r="E106" s="4"/>
      <c r="F106" s="4"/>
      <c r="G106" s="5"/>
      <c r="H106" s="5"/>
    </row>
    <row r="107" spans="1:8" ht="15.5">
      <c r="A107" s="8"/>
      <c r="B107" s="12"/>
      <c r="C107" s="14"/>
      <c r="D107" s="22"/>
      <c r="E107" s="4"/>
      <c r="F107" s="4"/>
      <c r="G107" s="5"/>
      <c r="H107" s="5"/>
    </row>
    <row r="108" spans="1:8" ht="15.5">
      <c r="A108" s="8"/>
      <c r="B108" s="9"/>
      <c r="C108" s="3"/>
      <c r="D108" s="22"/>
      <c r="E108" s="4"/>
      <c r="F108" s="4"/>
      <c r="G108" s="5"/>
      <c r="H108" s="5"/>
    </row>
    <row r="109" spans="1:8" ht="15.5">
      <c r="A109" s="8"/>
      <c r="B109" s="9"/>
      <c r="C109" s="3"/>
      <c r="D109" s="22"/>
      <c r="E109" s="4"/>
      <c r="F109" s="4"/>
      <c r="G109" s="5"/>
      <c r="H109" s="5"/>
    </row>
    <row r="110" spans="1:8" ht="15.5">
      <c r="A110" s="8"/>
      <c r="B110" s="9"/>
      <c r="C110" s="3"/>
      <c r="D110" s="22"/>
      <c r="E110" s="4"/>
      <c r="F110" s="4"/>
      <c r="G110" s="5"/>
      <c r="H110" s="5"/>
    </row>
    <row r="111" spans="1:8" ht="15.5">
      <c r="A111" s="8"/>
      <c r="B111" s="9"/>
      <c r="C111" s="3"/>
      <c r="D111" s="22"/>
      <c r="E111" s="4"/>
      <c r="F111" s="4"/>
      <c r="G111" s="5"/>
      <c r="H111" s="5"/>
    </row>
    <row r="112" spans="1:8" ht="15.5">
      <c r="A112" s="8"/>
      <c r="B112" s="9"/>
      <c r="C112" s="3"/>
      <c r="D112" s="22"/>
      <c r="E112" s="4"/>
      <c r="F112" s="4"/>
      <c r="G112" s="5"/>
      <c r="H112" s="5"/>
    </row>
    <row r="113" spans="1:8" ht="15.5">
      <c r="A113" s="8"/>
      <c r="B113" s="9"/>
      <c r="C113" s="3"/>
      <c r="D113" s="22"/>
      <c r="E113" s="4"/>
      <c r="F113" s="4"/>
      <c r="G113" s="5"/>
      <c r="H113" s="5"/>
    </row>
    <row r="114" spans="1:8" ht="15.5">
      <c r="A114" s="8"/>
      <c r="C114" s="18"/>
      <c r="D114" s="22"/>
      <c r="E114" s="4"/>
      <c r="F114" s="4"/>
      <c r="G114" s="5"/>
      <c r="H114" s="5"/>
    </row>
    <row r="115" spans="1:8" ht="15.5">
      <c r="A115" s="8"/>
      <c r="B115" s="9"/>
      <c r="C115" s="3"/>
      <c r="D115" s="22"/>
      <c r="E115" s="4"/>
      <c r="F115" s="4"/>
      <c r="G115" s="5"/>
      <c r="H115" s="5"/>
    </row>
    <row r="116" spans="1:8" ht="15.5">
      <c r="A116" s="8"/>
      <c r="B116" s="9"/>
      <c r="C116" s="3"/>
      <c r="D116" s="22"/>
      <c r="E116" s="4"/>
      <c r="F116" s="4"/>
      <c r="G116" s="5"/>
      <c r="H116" s="5"/>
    </row>
    <row r="117" spans="1:8" ht="15.5">
      <c r="A117" s="8"/>
      <c r="B117" s="9"/>
      <c r="C117" s="3"/>
      <c r="D117" s="22"/>
      <c r="E117" s="4"/>
      <c r="F117" s="4"/>
      <c r="G117" s="5"/>
      <c r="H117" s="5"/>
    </row>
    <row r="118" spans="1:8" ht="15.5">
      <c r="A118" s="8"/>
      <c r="B118" s="9"/>
      <c r="C118" s="3"/>
      <c r="D118" s="22"/>
      <c r="E118" s="4"/>
      <c r="F118" s="4"/>
      <c r="G118" s="5"/>
      <c r="H118" s="5"/>
    </row>
    <row r="119" spans="1:8" ht="15.5">
      <c r="A119" s="8"/>
      <c r="B119" s="9"/>
      <c r="C119" s="3"/>
      <c r="D119" s="22"/>
      <c r="E119" s="4"/>
      <c r="F119" s="4"/>
      <c r="G119" s="5"/>
      <c r="H119" s="5"/>
    </row>
    <row r="120" spans="1:8" ht="15.5">
      <c r="A120" s="8"/>
      <c r="B120" s="9"/>
      <c r="C120" s="3"/>
      <c r="D120" s="22"/>
      <c r="E120" s="4"/>
      <c r="F120" s="4"/>
      <c r="G120" s="5"/>
      <c r="H120" s="5"/>
    </row>
    <row r="121" spans="1:8" ht="15.5">
      <c r="A121" s="8"/>
      <c r="B121" s="9"/>
      <c r="C121" s="3"/>
      <c r="D121" s="22"/>
      <c r="E121" s="4"/>
      <c r="F121" s="4"/>
      <c r="G121" s="5"/>
      <c r="H121" s="5"/>
    </row>
    <row r="122" spans="1:8" ht="15.5">
      <c r="A122" s="8"/>
      <c r="B122" s="9"/>
      <c r="C122" s="3"/>
      <c r="D122" s="22"/>
      <c r="E122" s="4"/>
      <c r="F122" s="4"/>
      <c r="G122" s="5"/>
      <c r="H122" s="5"/>
    </row>
    <row r="123" spans="1:8" ht="15.5">
      <c r="A123" s="8"/>
      <c r="B123" s="9"/>
      <c r="C123" s="3"/>
      <c r="D123" s="22"/>
      <c r="E123" s="4"/>
      <c r="F123" s="4"/>
      <c r="G123" s="5"/>
      <c r="H123" s="5"/>
    </row>
    <row r="124" spans="1:8" ht="15.5">
      <c r="A124" s="8"/>
      <c r="B124" s="9"/>
      <c r="C124" s="3"/>
      <c r="D124" s="22"/>
      <c r="E124" s="4"/>
      <c r="F124" s="4"/>
      <c r="G124" s="5"/>
      <c r="H124" s="5"/>
    </row>
    <row r="125" spans="1:8" ht="15.5">
      <c r="A125" s="8"/>
      <c r="B125" s="9"/>
      <c r="C125" s="3"/>
      <c r="D125" s="22"/>
      <c r="E125" s="4"/>
      <c r="F125" s="4"/>
      <c r="G125" s="5"/>
      <c r="H125" s="5"/>
    </row>
    <row r="126" spans="1:8" ht="15.5">
      <c r="A126" s="8"/>
      <c r="B126" s="9"/>
      <c r="C126" s="3"/>
      <c r="D126" s="22"/>
      <c r="E126" s="4"/>
      <c r="F126" s="4"/>
      <c r="G126" s="5"/>
      <c r="H126" s="5"/>
    </row>
    <row r="127" spans="1:8" ht="15.5">
      <c r="A127" s="8"/>
      <c r="B127" s="9"/>
      <c r="C127" s="3"/>
      <c r="D127" s="22"/>
      <c r="E127" s="4"/>
      <c r="F127" s="4"/>
      <c r="G127" s="5"/>
      <c r="H127" s="5"/>
    </row>
    <row r="128" spans="1:8" ht="15.5">
      <c r="A128" s="8"/>
      <c r="B128" s="9"/>
      <c r="C128" s="3"/>
      <c r="D128" s="22"/>
      <c r="E128" s="17"/>
      <c r="F128" s="4"/>
      <c r="G128" s="5"/>
      <c r="H128" s="5"/>
    </row>
    <row r="129" spans="1:8" ht="15.5">
      <c r="A129" s="13"/>
      <c r="B129" s="12"/>
      <c r="C129" s="3"/>
      <c r="D129" s="22"/>
    </row>
    <row r="130" spans="1:8" ht="15.5">
      <c r="A130" s="8"/>
      <c r="B130" s="9"/>
      <c r="C130" s="3"/>
      <c r="D130" s="22"/>
      <c r="G130" s="2">
        <v>250</v>
      </c>
      <c r="H130" s="11">
        <f>+F130*G130</f>
        <v>0</v>
      </c>
    </row>
    <row r="131" spans="1:8" ht="15.5">
      <c r="A131" s="8"/>
      <c r="B131" s="9"/>
      <c r="C131" s="3"/>
      <c r="D131" s="22"/>
      <c r="G131" s="2">
        <v>250</v>
      </c>
      <c r="H131" s="11">
        <f>+F131*G131</f>
        <v>0</v>
      </c>
    </row>
    <row r="132" spans="1:8" ht="15.5">
      <c r="A132" s="8"/>
      <c r="B132" s="9"/>
      <c r="C132" s="3"/>
      <c r="D132" s="22"/>
    </row>
    <row r="133" spans="1:8" ht="15.5">
      <c r="A133" s="8"/>
      <c r="B133" s="9"/>
      <c r="C133" s="3"/>
      <c r="D133" s="22"/>
    </row>
    <row r="134" spans="1:8" ht="15.5">
      <c r="A134" s="8"/>
      <c r="B134" s="9"/>
      <c r="C134" s="3"/>
      <c r="D134" s="22"/>
    </row>
    <row r="135" spans="1:8" ht="15.5">
      <c r="A135" s="23"/>
      <c r="B135" s="5"/>
      <c r="C135" s="18"/>
      <c r="D135" s="22"/>
    </row>
    <row r="136" spans="1:8" ht="15.5">
      <c r="A136" s="8"/>
      <c r="B136" s="9"/>
      <c r="C136" s="3"/>
      <c r="D136" s="22"/>
      <c r="H136">
        <v>15000</v>
      </c>
    </row>
    <row r="137" spans="1:8" ht="15.5">
      <c r="A137" s="8"/>
      <c r="B137" s="9"/>
      <c r="C137" s="3"/>
      <c r="D137" s="22"/>
    </row>
    <row r="138" spans="1:8" ht="15.5">
      <c r="A138" s="23"/>
      <c r="B138" s="5"/>
      <c r="C138" s="18"/>
      <c r="D138" s="22"/>
    </row>
    <row r="139" spans="1:8" ht="15.5">
      <c r="A139" s="13"/>
      <c r="B139" s="12"/>
      <c r="C139" s="3"/>
      <c r="D139" s="22"/>
    </row>
    <row r="140" spans="1:8" ht="15.5">
      <c r="A140" s="8"/>
      <c r="B140" s="9"/>
      <c r="C140" s="3"/>
      <c r="D140" s="22"/>
    </row>
    <row r="141" spans="1:8" ht="15.5">
      <c r="A141" s="8"/>
      <c r="B141" s="9"/>
      <c r="C141" s="3"/>
      <c r="D141" s="22"/>
    </row>
    <row r="142" spans="1:8" ht="15.5">
      <c r="A142" s="8"/>
      <c r="B142" s="9"/>
      <c r="C142" s="3"/>
      <c r="D142" s="22"/>
    </row>
    <row r="143" spans="1:8" ht="15.5">
      <c r="A143" s="8"/>
      <c r="B143" s="9"/>
      <c r="C143" s="3"/>
      <c r="D143" s="22"/>
    </row>
    <row r="144" spans="1:8" ht="15.5">
      <c r="A144" s="8"/>
      <c r="B144" s="9"/>
      <c r="C144" s="3"/>
      <c r="D144" s="22"/>
    </row>
    <row r="145" spans="1:8" ht="15.5">
      <c r="A145" s="8"/>
      <c r="B145" s="9"/>
      <c r="C145" s="3"/>
      <c r="D145" s="22"/>
      <c r="F145">
        <v>325000</v>
      </c>
      <c r="G145" s="24">
        <v>3.4200000000000001E-2</v>
      </c>
      <c r="H145" s="11">
        <f>+F145*G145</f>
        <v>11115</v>
      </c>
    </row>
    <row r="146" spans="1:8" ht="15.5">
      <c r="A146" s="8"/>
      <c r="B146" s="9"/>
      <c r="C146" s="3"/>
      <c r="D146" s="22"/>
      <c r="F146">
        <v>1325000</v>
      </c>
      <c r="G146" s="25">
        <v>3.4200000000000001E-2</v>
      </c>
      <c r="H146" s="11">
        <f>+F146*G146</f>
        <v>45315</v>
      </c>
    </row>
    <row r="147" spans="1:8" ht="15.5">
      <c r="A147" s="8"/>
      <c r="B147" s="9"/>
      <c r="C147" s="3"/>
      <c r="D147" s="22"/>
    </row>
    <row r="148" spans="1:8" ht="15.5">
      <c r="A148" s="8"/>
      <c r="B148" s="9"/>
      <c r="C148" s="3"/>
      <c r="D148" s="22"/>
    </row>
    <row r="149" spans="1:8" ht="15.5">
      <c r="A149" s="8"/>
      <c r="B149" s="9"/>
      <c r="C149" s="3"/>
      <c r="D149" s="10"/>
      <c r="F149">
        <f>250*5300</f>
        <v>1325000</v>
      </c>
      <c r="H149">
        <f>SUM(H136:H148)</f>
        <v>71430</v>
      </c>
    </row>
    <row r="150" spans="1:8" ht="15.5">
      <c r="A150" s="8"/>
      <c r="B150" s="9"/>
      <c r="C150" s="3"/>
    </row>
    <row r="151" spans="1:8" ht="15.5">
      <c r="A151" s="8"/>
      <c r="B151" s="9"/>
      <c r="C151" s="3"/>
    </row>
    <row r="152" spans="1:8" ht="15.5">
      <c r="A152" s="8"/>
      <c r="B152" s="9"/>
      <c r="C152" s="3"/>
    </row>
    <row r="153" spans="1:8" ht="15.5">
      <c r="A153" s="8"/>
      <c r="B153" s="9"/>
      <c r="C153" s="3"/>
    </row>
    <row r="154" spans="1:8" ht="15.5">
      <c r="A154" s="8"/>
      <c r="B154" s="9"/>
      <c r="C154" s="3"/>
    </row>
    <row r="155" spans="1:8" ht="15.5">
      <c r="A155" s="8"/>
      <c r="B155" s="9"/>
      <c r="C155" s="3"/>
    </row>
    <row r="156" spans="1:8" ht="15.5">
      <c r="A156" s="8"/>
      <c r="B156" s="9"/>
      <c r="C156" s="3"/>
    </row>
    <row r="157" spans="1:8" ht="15.5">
      <c r="A157" s="8"/>
      <c r="B157" s="9"/>
      <c r="C157" s="3"/>
    </row>
    <row r="158" spans="1:8" ht="15.5">
      <c r="A158" s="8"/>
      <c r="B158" s="9"/>
      <c r="C158" s="3"/>
    </row>
    <row r="159" spans="1:8" ht="15.5">
      <c r="A159" s="8"/>
      <c r="B159" s="9"/>
      <c r="C159" s="3"/>
    </row>
    <row r="160" spans="1:8" ht="15.5">
      <c r="A160" s="8"/>
      <c r="B160" s="9"/>
      <c r="C160" s="3"/>
    </row>
    <row r="161" spans="1:3" ht="15.5">
      <c r="A161" s="8"/>
      <c r="B161" s="9"/>
      <c r="C161" s="3"/>
    </row>
    <row r="162" spans="1:3" ht="15.5">
      <c r="A162" s="8"/>
      <c r="B162" s="12"/>
      <c r="C162" s="14"/>
    </row>
    <row r="163" spans="1:3">
      <c r="A163" s="13"/>
      <c r="C163" s="16"/>
    </row>
    <row r="164" spans="1:3">
      <c r="A164" s="13"/>
      <c r="B164" s="12"/>
      <c r="C164" s="14"/>
    </row>
    <row r="165" spans="1:3">
      <c r="A165" s="13"/>
      <c r="B165" s="12"/>
      <c r="C165" s="14"/>
    </row>
    <row r="166" spans="1:3">
      <c r="A166" s="13"/>
      <c r="B166" s="12"/>
      <c r="C166" s="14"/>
    </row>
    <row r="167" spans="1:3">
      <c r="A167" s="13"/>
      <c r="B167" s="12"/>
      <c r="C167" s="14"/>
    </row>
    <row r="168" spans="1:3">
      <c r="A168" s="13"/>
      <c r="B168" s="12"/>
      <c r="C168" s="14"/>
    </row>
    <row r="169" spans="1:3" ht="15.5">
      <c r="A169" s="8"/>
      <c r="B169" s="9"/>
      <c r="C169" s="3"/>
    </row>
    <row r="170" spans="1:3" ht="15.5">
      <c r="A170" s="8"/>
      <c r="B170" s="9"/>
      <c r="C170" s="3"/>
    </row>
    <row r="171" spans="1:3" ht="15.5">
      <c r="A171" s="8"/>
      <c r="B171" s="9"/>
      <c r="C171" s="3"/>
    </row>
    <row r="172" spans="1:3" ht="15.5">
      <c r="A172" s="8"/>
      <c r="B172" s="9"/>
      <c r="C172" s="3"/>
    </row>
  </sheetData>
  <mergeCells count="2">
    <mergeCell ref="A1:C1"/>
    <mergeCell ref="G2:H2"/>
  </mergeCells>
  <pageMargins left="0.7" right="0.7" top="0.75" bottom="0.75" header="0.511811023622047" footer="0.511811023622047"/>
  <pageSetup orientation="portrait" horizontalDpi="300" verticalDpi="30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6"/>
  <sheetViews>
    <sheetView topLeftCell="A67" zoomScaleNormal="100" workbookViewId="0">
      <selection activeCell="F81" sqref="F81"/>
    </sheetView>
  </sheetViews>
  <sheetFormatPr baseColWidth="10" defaultColWidth="8.7265625" defaultRowHeight="14.5"/>
  <cols>
    <col min="1" max="1" width="7.54296875" customWidth="1"/>
    <col min="2" max="2" width="12.54296875" style="2" customWidth="1"/>
    <col min="3" max="3" width="25.1796875" customWidth="1"/>
    <col min="4" max="4" width="11.81640625" customWidth="1"/>
    <col min="5" max="5" width="11.453125" customWidth="1"/>
    <col min="6" max="6" width="30.453125" customWidth="1"/>
    <col min="7" max="7" width="25.81640625" style="2" customWidth="1"/>
    <col min="8" max="8" width="15.1796875" customWidth="1"/>
    <col min="9" max="9" width="11.1796875" style="2" customWidth="1"/>
    <col min="10" max="10" width="14.81640625" customWidth="1"/>
  </cols>
  <sheetData>
    <row r="1" spans="1:8" ht="15.5">
      <c r="A1" s="209" t="s">
        <v>0</v>
      </c>
      <c r="B1" s="209"/>
      <c r="C1" s="209"/>
      <c r="D1" s="3"/>
      <c r="E1" s="4"/>
      <c r="F1" s="4"/>
      <c r="G1" s="5"/>
      <c r="H1" s="5"/>
    </row>
    <row r="2" spans="1:8" ht="15.5">
      <c r="A2" s="6" t="s">
        <v>1</v>
      </c>
      <c r="B2" s="7" t="s">
        <v>2</v>
      </c>
      <c r="C2" s="6" t="s">
        <v>3</v>
      </c>
      <c r="D2" s="3"/>
      <c r="E2" s="4"/>
      <c r="F2" s="4"/>
      <c r="G2" s="210" t="s">
        <v>4</v>
      </c>
      <c r="H2" s="210"/>
    </row>
    <row r="3" spans="1:8" ht="15.5">
      <c r="A3" s="8">
        <v>45139</v>
      </c>
      <c r="B3" s="9">
        <v>33462</v>
      </c>
      <c r="C3" s="3" t="s">
        <v>239</v>
      </c>
      <c r="D3" s="3"/>
      <c r="E3" s="4"/>
      <c r="F3" s="4"/>
      <c r="G3" s="9" t="s">
        <v>6</v>
      </c>
      <c r="H3" s="9">
        <v>20000</v>
      </c>
    </row>
    <row r="4" spans="1:8" ht="15.5">
      <c r="A4" s="8">
        <v>45139</v>
      </c>
      <c r="B4" s="2">
        <v>350</v>
      </c>
      <c r="C4" t="s">
        <v>240</v>
      </c>
      <c r="E4" s="4"/>
      <c r="F4" s="4"/>
      <c r="G4" s="9" t="s">
        <v>7</v>
      </c>
      <c r="H4" s="9">
        <v>30000</v>
      </c>
    </row>
    <row r="5" spans="1:8" ht="15.5">
      <c r="A5" s="8">
        <v>45139</v>
      </c>
      <c r="B5" s="9">
        <f>+'Control Inversión'!E8</f>
        <v>2287</v>
      </c>
      <c r="C5" s="3" t="s">
        <v>241</v>
      </c>
      <c r="D5" s="3"/>
      <c r="E5" s="4"/>
      <c r="F5" s="4"/>
      <c r="G5" s="9" t="s">
        <v>9</v>
      </c>
      <c r="H5" s="9">
        <v>40000</v>
      </c>
    </row>
    <row r="6" spans="1:8" ht="15.5">
      <c r="A6" s="8">
        <v>45139</v>
      </c>
      <c r="B6" s="9">
        <v>4375</v>
      </c>
      <c r="C6" s="3" t="s">
        <v>242</v>
      </c>
      <c r="D6" s="3"/>
      <c r="E6" s="4"/>
      <c r="F6" s="4"/>
      <c r="G6" s="9" t="s">
        <v>11</v>
      </c>
      <c r="H6" s="9">
        <v>5000</v>
      </c>
    </row>
    <row r="7" spans="1:8" ht="15.5">
      <c r="A7" s="8">
        <v>45139</v>
      </c>
      <c r="B7" s="9">
        <v>225000</v>
      </c>
      <c r="C7" s="3" t="s">
        <v>243</v>
      </c>
      <c r="D7" s="3"/>
      <c r="E7" s="4"/>
      <c r="F7" s="4"/>
      <c r="G7" s="9"/>
      <c r="H7" s="9"/>
    </row>
    <row r="8" spans="1:8" ht="15.5">
      <c r="A8" s="8">
        <v>45139</v>
      </c>
      <c r="B8" s="9">
        <v>124000</v>
      </c>
      <c r="C8" s="3" t="s">
        <v>244</v>
      </c>
      <c r="D8" s="10">
        <f>+B8+B7</f>
        <v>349000</v>
      </c>
      <c r="E8" s="4"/>
      <c r="F8" s="4"/>
      <c r="G8" s="9" t="s">
        <v>13</v>
      </c>
      <c r="H8" s="9">
        <v>3000</v>
      </c>
    </row>
    <row r="9" spans="1:8" ht="15.5">
      <c r="A9" s="13">
        <v>45139</v>
      </c>
      <c r="B9" s="12">
        <v>-10000</v>
      </c>
      <c r="C9" s="14" t="s">
        <v>82</v>
      </c>
      <c r="D9" s="22">
        <f t="shared" ref="D9:D23" si="0">+D8+B9</f>
        <v>339000</v>
      </c>
      <c r="E9" s="4">
        <v>105000</v>
      </c>
      <c r="F9" s="4" t="s">
        <v>104</v>
      </c>
      <c r="G9" s="9" t="s">
        <v>15</v>
      </c>
      <c r="H9" s="9">
        <v>5000</v>
      </c>
    </row>
    <row r="10" spans="1:8" ht="15.5">
      <c r="A10" s="13">
        <v>45140</v>
      </c>
      <c r="B10" s="12">
        <v>-3700</v>
      </c>
      <c r="C10" s="14" t="s">
        <v>377</v>
      </c>
      <c r="D10" s="22">
        <f t="shared" si="0"/>
        <v>335300</v>
      </c>
      <c r="E10" s="4">
        <v>12000</v>
      </c>
      <c r="F10" s="4" t="s">
        <v>106</v>
      </c>
      <c r="G10" s="9" t="s">
        <v>18</v>
      </c>
      <c r="H10" s="9">
        <v>1500</v>
      </c>
    </row>
    <row r="11" spans="1:8" ht="15.5">
      <c r="A11" s="8">
        <v>45140</v>
      </c>
      <c r="B11" s="9">
        <v>-2900</v>
      </c>
      <c r="C11" s="3" t="s">
        <v>6</v>
      </c>
      <c r="D11" s="22">
        <f t="shared" si="0"/>
        <v>332400</v>
      </c>
      <c r="E11" s="4">
        <v>8000</v>
      </c>
      <c r="F11" s="4" t="s">
        <v>106</v>
      </c>
      <c r="G11" s="9" t="s">
        <v>19</v>
      </c>
      <c r="H11" s="9">
        <v>10000</v>
      </c>
    </row>
    <row r="12" spans="1:8" ht="15.5">
      <c r="A12" s="13">
        <v>45141</v>
      </c>
      <c r="B12" s="2">
        <v>-3000</v>
      </c>
      <c r="C12" s="16" t="s">
        <v>378</v>
      </c>
      <c r="D12" s="22">
        <f t="shared" si="0"/>
        <v>329400</v>
      </c>
      <c r="E12" s="4">
        <v>15000</v>
      </c>
      <c r="F12" s="4" t="s">
        <v>34</v>
      </c>
      <c r="G12" s="9" t="s">
        <v>21</v>
      </c>
      <c r="H12" s="9">
        <v>1500</v>
      </c>
    </row>
    <row r="13" spans="1:8" ht="15.5">
      <c r="A13" s="13">
        <v>45141</v>
      </c>
      <c r="B13" s="12">
        <v>-9000</v>
      </c>
      <c r="C13" s="14" t="s">
        <v>379</v>
      </c>
      <c r="D13" s="22">
        <f t="shared" si="0"/>
        <v>320400</v>
      </c>
      <c r="E13" s="4"/>
      <c r="F13" s="4"/>
      <c r="G13" s="9" t="s">
        <v>23</v>
      </c>
      <c r="H13" s="9">
        <v>25000</v>
      </c>
    </row>
    <row r="14" spans="1:8" ht="15.5">
      <c r="A14" s="13">
        <v>45141</v>
      </c>
      <c r="B14" s="12">
        <v>-1000</v>
      </c>
      <c r="C14" s="14" t="s">
        <v>346</v>
      </c>
      <c r="D14" s="22">
        <f t="shared" si="0"/>
        <v>319400</v>
      </c>
      <c r="E14" s="4"/>
      <c r="F14" s="4"/>
      <c r="G14" s="9" t="s">
        <v>25</v>
      </c>
      <c r="H14" s="9">
        <v>1500</v>
      </c>
    </row>
    <row r="15" spans="1:8" ht="15.5">
      <c r="A15" s="13">
        <v>45141</v>
      </c>
      <c r="B15" s="12">
        <v>-35500</v>
      </c>
      <c r="C15" s="14" t="s">
        <v>380</v>
      </c>
      <c r="D15" s="22">
        <f t="shared" si="0"/>
        <v>283900</v>
      </c>
      <c r="E15" s="4"/>
      <c r="F15" s="4"/>
      <c r="G15" s="9"/>
      <c r="H15" s="9"/>
    </row>
    <row r="16" spans="1:8" ht="15.5">
      <c r="A16" s="8">
        <v>45141</v>
      </c>
      <c r="B16" s="12">
        <v>-500</v>
      </c>
      <c r="C16" s="14" t="s">
        <v>381</v>
      </c>
      <c r="D16" s="22">
        <f t="shared" si="0"/>
        <v>283400</v>
      </c>
      <c r="E16" s="4">
        <f>SUM(E9:E15)</f>
        <v>140000</v>
      </c>
      <c r="F16" s="4"/>
      <c r="G16" s="9"/>
      <c r="H16" s="9"/>
    </row>
    <row r="17" spans="1:8" ht="15.5">
      <c r="A17" s="8">
        <v>45141</v>
      </c>
      <c r="B17" s="9">
        <v>-2000</v>
      </c>
      <c r="C17" s="3" t="s">
        <v>200</v>
      </c>
      <c r="D17" s="22">
        <f t="shared" si="0"/>
        <v>281400</v>
      </c>
      <c r="E17" s="4"/>
      <c r="F17" s="4"/>
      <c r="G17" s="15" t="s">
        <v>27</v>
      </c>
      <c r="H17" s="15">
        <f>SUM(H3:H15)</f>
        <v>142500</v>
      </c>
    </row>
    <row r="18" spans="1:8" ht="15.5">
      <c r="A18" s="8">
        <v>45141</v>
      </c>
      <c r="B18" s="9">
        <v>-5000</v>
      </c>
      <c r="C18" s="3" t="s">
        <v>382</v>
      </c>
      <c r="D18" s="22">
        <f t="shared" si="0"/>
        <v>276400</v>
      </c>
      <c r="E18" s="4"/>
      <c r="F18" s="4"/>
      <c r="G18" s="5" t="s">
        <v>29</v>
      </c>
      <c r="H18" s="5">
        <f>+H17/54</f>
        <v>2638.8888888888887</v>
      </c>
    </row>
    <row r="19" spans="1:8" ht="15.5">
      <c r="A19" s="8">
        <v>45142</v>
      </c>
      <c r="B19" s="9">
        <v>-3855</v>
      </c>
      <c r="C19" s="3" t="s">
        <v>37</v>
      </c>
      <c r="D19" s="22">
        <f t="shared" si="0"/>
        <v>272545</v>
      </c>
      <c r="E19" s="4"/>
      <c r="F19" s="4"/>
      <c r="G19" s="5"/>
      <c r="H19" s="5"/>
    </row>
    <row r="20" spans="1:8" ht="15.5">
      <c r="A20" s="8">
        <v>45142</v>
      </c>
      <c r="B20" s="9">
        <v>-5800</v>
      </c>
      <c r="C20" s="3" t="s">
        <v>383</v>
      </c>
      <c r="D20" s="22">
        <f t="shared" si="0"/>
        <v>266745</v>
      </c>
      <c r="E20" s="4"/>
      <c r="F20" s="4"/>
      <c r="G20" s="5"/>
      <c r="H20" s="5"/>
    </row>
    <row r="21" spans="1:8" ht="15.5">
      <c r="A21" s="8">
        <v>45142</v>
      </c>
      <c r="B21" s="9">
        <v>-2800</v>
      </c>
      <c r="C21" s="3" t="s">
        <v>6</v>
      </c>
      <c r="D21" s="22">
        <f t="shared" si="0"/>
        <v>263945</v>
      </c>
      <c r="E21" s="4"/>
      <c r="F21" s="4"/>
      <c r="G21" s="5" t="s">
        <v>77</v>
      </c>
      <c r="H21" s="5"/>
    </row>
    <row r="22" spans="1:8" ht="15.5">
      <c r="A22" s="8">
        <v>45143</v>
      </c>
      <c r="B22" s="9">
        <v>-9000</v>
      </c>
      <c r="C22" s="3" t="s">
        <v>384</v>
      </c>
      <c r="D22" s="22">
        <f t="shared" si="0"/>
        <v>254945</v>
      </c>
      <c r="E22" s="4"/>
      <c r="F22" s="4"/>
      <c r="G22" s="5" t="s">
        <v>78</v>
      </c>
      <c r="H22" s="5">
        <f>1100*55</f>
        <v>60500</v>
      </c>
    </row>
    <row r="23" spans="1:8" ht="15.5">
      <c r="A23" s="8">
        <v>45144</v>
      </c>
      <c r="B23" s="2">
        <v>-2000</v>
      </c>
      <c r="C23" s="18" t="s">
        <v>385</v>
      </c>
      <c r="D23" s="22">
        <f t="shared" si="0"/>
        <v>252945</v>
      </c>
      <c r="E23" s="4"/>
      <c r="F23" s="4"/>
      <c r="G23" s="5" t="s">
        <v>79</v>
      </c>
      <c r="H23" s="5">
        <v>27000</v>
      </c>
    </row>
    <row r="24" spans="1:8" ht="15.5">
      <c r="A24" s="8">
        <v>45144</v>
      </c>
      <c r="B24" s="9">
        <v>-600</v>
      </c>
      <c r="C24" s="3" t="s">
        <v>386</v>
      </c>
      <c r="D24" s="22">
        <f>+D22+B24</f>
        <v>254345</v>
      </c>
      <c r="E24" s="4"/>
      <c r="F24" s="4"/>
      <c r="G24" s="5"/>
      <c r="H24" s="5"/>
    </row>
    <row r="25" spans="1:8" ht="15.5">
      <c r="A25" s="8">
        <v>45145</v>
      </c>
      <c r="B25" s="9">
        <v>-12000</v>
      </c>
      <c r="C25" s="3" t="s">
        <v>362</v>
      </c>
      <c r="D25" s="22">
        <f t="shared" ref="D25:D56" si="1">+D24+B25</f>
        <v>242345</v>
      </c>
      <c r="E25" s="4"/>
      <c r="F25" s="4"/>
      <c r="G25" s="5" t="s">
        <v>27</v>
      </c>
      <c r="H25" s="17">
        <f>SUM(H22:H24)</f>
        <v>87500</v>
      </c>
    </row>
    <row r="26" spans="1:8" ht="15.5">
      <c r="A26" s="8">
        <v>45145</v>
      </c>
      <c r="B26" s="9">
        <v>-15177</v>
      </c>
      <c r="C26" s="3" t="s">
        <v>360</v>
      </c>
      <c r="D26" s="22">
        <f t="shared" si="1"/>
        <v>227168</v>
      </c>
      <c r="E26" s="4"/>
      <c r="F26" s="4"/>
      <c r="G26" s="5"/>
      <c r="H26" s="4"/>
    </row>
    <row r="27" spans="1:8" ht="15.5">
      <c r="A27" s="8">
        <v>45145</v>
      </c>
      <c r="B27" s="9">
        <v>-1654</v>
      </c>
      <c r="C27" s="3" t="s">
        <v>38</v>
      </c>
      <c r="D27" s="22">
        <f t="shared" si="1"/>
        <v>225514</v>
      </c>
      <c r="E27" s="4"/>
      <c r="F27" s="4"/>
      <c r="G27" s="5"/>
      <c r="H27" s="4"/>
    </row>
    <row r="28" spans="1:8" ht="15.5">
      <c r="A28" s="8">
        <v>45145</v>
      </c>
      <c r="B28" s="9">
        <v>-34800</v>
      </c>
      <c r="C28" s="3" t="s">
        <v>387</v>
      </c>
      <c r="D28" s="22">
        <f t="shared" si="1"/>
        <v>190714</v>
      </c>
      <c r="E28" s="4"/>
      <c r="F28" s="4" t="s">
        <v>80</v>
      </c>
      <c r="G28" s="5"/>
      <c r="H28" s="4"/>
    </row>
    <row r="29" spans="1:8" ht="15.5">
      <c r="A29" s="8">
        <v>45145</v>
      </c>
      <c r="B29" s="9">
        <v>-17400</v>
      </c>
      <c r="C29" s="3" t="s">
        <v>387</v>
      </c>
      <c r="D29" s="22">
        <f t="shared" si="1"/>
        <v>173314</v>
      </c>
      <c r="E29" s="4"/>
      <c r="F29" s="4" t="s">
        <v>81</v>
      </c>
      <c r="G29" s="5">
        <f>4700*56</f>
        <v>263200</v>
      </c>
      <c r="H29" s="5"/>
    </row>
    <row r="30" spans="1:8" ht="15.5">
      <c r="A30" s="8">
        <v>45146</v>
      </c>
      <c r="B30" s="9">
        <v>-800</v>
      </c>
      <c r="C30" s="3" t="s">
        <v>114</v>
      </c>
      <c r="D30" s="22">
        <f t="shared" si="1"/>
        <v>172514</v>
      </c>
      <c r="E30" s="4"/>
      <c r="F30" s="4" t="s">
        <v>82</v>
      </c>
      <c r="G30" s="5">
        <v>10000</v>
      </c>
      <c r="H30" s="5"/>
    </row>
    <row r="31" spans="1:8" ht="15.5">
      <c r="A31" s="8">
        <v>45146</v>
      </c>
      <c r="B31" s="9">
        <v>-600</v>
      </c>
      <c r="C31" s="3" t="s">
        <v>114</v>
      </c>
      <c r="D31" s="22">
        <f t="shared" si="1"/>
        <v>171914</v>
      </c>
      <c r="E31" s="4"/>
      <c r="F31" s="4" t="s">
        <v>83</v>
      </c>
      <c r="G31" s="5">
        <v>25000</v>
      </c>
      <c r="H31" s="5"/>
    </row>
    <row r="32" spans="1:8" ht="15.5">
      <c r="A32" s="8">
        <v>45147</v>
      </c>
      <c r="B32" s="9">
        <v>-16800</v>
      </c>
      <c r="C32" s="3" t="s">
        <v>388</v>
      </c>
      <c r="D32" s="22">
        <f t="shared" si="1"/>
        <v>155114</v>
      </c>
      <c r="E32" s="4"/>
      <c r="F32" s="17" t="s">
        <v>84</v>
      </c>
      <c r="G32" s="5">
        <v>35000</v>
      </c>
      <c r="H32" s="5"/>
    </row>
    <row r="33" spans="1:10" ht="15.5">
      <c r="A33" s="8">
        <v>45147</v>
      </c>
      <c r="B33" s="9">
        <v>-370</v>
      </c>
      <c r="C33" s="3" t="s">
        <v>389</v>
      </c>
      <c r="D33" s="22">
        <f t="shared" si="1"/>
        <v>154744</v>
      </c>
      <c r="E33" s="4"/>
      <c r="F33" s="4" t="s">
        <v>85</v>
      </c>
      <c r="G33" s="5">
        <v>9000</v>
      </c>
      <c r="H33" s="5"/>
    </row>
    <row r="34" spans="1:10" ht="15.5">
      <c r="A34" s="8">
        <v>45147</v>
      </c>
      <c r="B34" s="9">
        <v>-2800</v>
      </c>
      <c r="C34" s="3" t="s">
        <v>6</v>
      </c>
      <c r="D34" s="22">
        <f t="shared" si="1"/>
        <v>151944</v>
      </c>
      <c r="E34" s="4"/>
      <c r="F34" s="4" t="s">
        <v>86</v>
      </c>
      <c r="G34" s="5">
        <v>9000</v>
      </c>
      <c r="H34" s="5"/>
    </row>
    <row r="35" spans="1:10" ht="15.5">
      <c r="A35" s="8">
        <v>45147</v>
      </c>
      <c r="B35" s="9">
        <v>-2000</v>
      </c>
      <c r="C35" s="3" t="s">
        <v>19</v>
      </c>
      <c r="D35" s="22">
        <f t="shared" si="1"/>
        <v>149944</v>
      </c>
      <c r="E35" s="4"/>
      <c r="F35" s="4"/>
      <c r="G35" s="5"/>
      <c r="H35" s="5"/>
    </row>
    <row r="36" spans="1:10" ht="15.5">
      <c r="A36" s="8">
        <v>45147</v>
      </c>
      <c r="B36" s="9">
        <v>-56000</v>
      </c>
      <c r="C36" s="3" t="s">
        <v>390</v>
      </c>
      <c r="D36" s="22">
        <f t="shared" si="1"/>
        <v>93944</v>
      </c>
      <c r="E36" s="4"/>
      <c r="F36" s="4"/>
      <c r="G36" s="5"/>
      <c r="H36" s="5"/>
    </row>
    <row r="37" spans="1:10" ht="15.5">
      <c r="A37" s="8">
        <v>45147</v>
      </c>
      <c r="B37" s="9">
        <v>-16000</v>
      </c>
      <c r="C37" s="3" t="s">
        <v>34</v>
      </c>
      <c r="D37" s="22">
        <f t="shared" si="1"/>
        <v>77944</v>
      </c>
      <c r="E37" s="4"/>
      <c r="F37" s="4"/>
      <c r="G37" s="5"/>
      <c r="H37" s="5"/>
    </row>
    <row r="38" spans="1:10" ht="15.5">
      <c r="A38" s="13">
        <v>45147</v>
      </c>
      <c r="B38" s="12">
        <v>-14000</v>
      </c>
      <c r="C38" s="3" t="s">
        <v>200</v>
      </c>
      <c r="D38" s="22">
        <f t="shared" si="1"/>
        <v>63944</v>
      </c>
      <c r="E38" s="4"/>
      <c r="F38" s="4"/>
      <c r="G38" s="5"/>
      <c r="H38" s="5"/>
    </row>
    <row r="39" spans="1:10" ht="15.5">
      <c r="A39" s="8">
        <v>45147</v>
      </c>
      <c r="B39" s="9">
        <v>86000</v>
      </c>
      <c r="C39" s="3" t="s">
        <v>391</v>
      </c>
      <c r="D39" s="22">
        <f t="shared" si="1"/>
        <v>149944</v>
      </c>
      <c r="E39" s="4"/>
      <c r="F39" s="4"/>
      <c r="G39" s="5"/>
      <c r="H39" s="5"/>
      <c r="J39" s="2"/>
    </row>
    <row r="40" spans="1:10" ht="15.5">
      <c r="A40" s="8">
        <v>45148</v>
      </c>
      <c r="B40" s="9">
        <v>-2535</v>
      </c>
      <c r="C40" s="3" t="s">
        <v>392</v>
      </c>
      <c r="D40" s="22">
        <f t="shared" si="1"/>
        <v>147409</v>
      </c>
      <c r="E40" s="4"/>
      <c r="F40" s="4"/>
      <c r="G40" s="5"/>
      <c r="H40" s="5"/>
    </row>
    <row r="41" spans="1:10" ht="15.5">
      <c r="A41" s="8">
        <v>45149</v>
      </c>
      <c r="B41" s="9">
        <v>-240</v>
      </c>
      <c r="C41" s="3" t="s">
        <v>393</v>
      </c>
      <c r="D41" s="22">
        <f t="shared" si="1"/>
        <v>147169</v>
      </c>
      <c r="E41" s="4"/>
      <c r="F41" s="4"/>
      <c r="G41" s="5">
        <f>SUM(G29:G40)</f>
        <v>351200</v>
      </c>
      <c r="H41" s="5"/>
    </row>
    <row r="42" spans="1:10" ht="15.5">
      <c r="A42" s="8">
        <v>45149</v>
      </c>
      <c r="B42" s="9">
        <v>-2500</v>
      </c>
      <c r="C42" s="3" t="s">
        <v>394</v>
      </c>
      <c r="D42" s="22">
        <f t="shared" si="1"/>
        <v>144669</v>
      </c>
      <c r="E42" s="4"/>
      <c r="F42" s="4"/>
      <c r="G42" s="5"/>
      <c r="H42" s="5"/>
      <c r="J42" s="11"/>
    </row>
    <row r="43" spans="1:10" ht="15.5">
      <c r="A43" s="8">
        <v>45150</v>
      </c>
      <c r="B43" s="9">
        <v>-800</v>
      </c>
      <c r="C43" s="3" t="s">
        <v>395</v>
      </c>
      <c r="D43" s="22">
        <f t="shared" si="1"/>
        <v>143869</v>
      </c>
      <c r="E43" s="4"/>
      <c r="F43" s="4"/>
      <c r="G43" s="5"/>
      <c r="H43" s="5"/>
    </row>
    <row r="44" spans="1:10" ht="15.5">
      <c r="A44" s="23">
        <v>45150</v>
      </c>
      <c r="B44" s="5">
        <v>-1200</v>
      </c>
      <c r="C44" s="18" t="s">
        <v>396</v>
      </c>
      <c r="D44" s="22">
        <f t="shared" si="1"/>
        <v>142669</v>
      </c>
      <c r="E44" s="4"/>
      <c r="F44" s="4"/>
      <c r="G44" s="5"/>
      <c r="H44" s="5"/>
    </row>
    <row r="45" spans="1:10" ht="15.5">
      <c r="A45" s="8">
        <v>45150</v>
      </c>
      <c r="B45" s="9">
        <v>-4000</v>
      </c>
      <c r="C45" s="3" t="s">
        <v>397</v>
      </c>
      <c r="D45" s="22">
        <f t="shared" si="1"/>
        <v>138669</v>
      </c>
      <c r="E45" s="4"/>
      <c r="F45" s="4"/>
      <c r="G45" s="5"/>
      <c r="H45" s="5"/>
    </row>
    <row r="46" spans="1:10" ht="15.5">
      <c r="A46" s="8">
        <v>45151</v>
      </c>
      <c r="B46" s="9">
        <v>-21000</v>
      </c>
      <c r="C46" s="3" t="s">
        <v>398</v>
      </c>
      <c r="D46" s="22">
        <f t="shared" si="1"/>
        <v>117669</v>
      </c>
      <c r="E46" s="4"/>
      <c r="F46" s="17"/>
      <c r="G46" s="5"/>
      <c r="H46" s="5"/>
    </row>
    <row r="47" spans="1:10" ht="15.5">
      <c r="A47" s="23">
        <v>45153</v>
      </c>
      <c r="B47" s="5">
        <v>-3000</v>
      </c>
      <c r="C47" s="18" t="s">
        <v>6</v>
      </c>
      <c r="D47" s="22">
        <f t="shared" si="1"/>
        <v>114669</v>
      </c>
      <c r="E47" s="4"/>
      <c r="F47" s="4"/>
      <c r="G47" s="5"/>
      <c r="H47" s="5"/>
    </row>
    <row r="48" spans="1:10" ht="15.5">
      <c r="A48" s="13">
        <v>45153</v>
      </c>
      <c r="B48" s="12">
        <v>-2606</v>
      </c>
      <c r="C48" s="3" t="s">
        <v>19</v>
      </c>
      <c r="D48" s="22">
        <f t="shared" si="1"/>
        <v>112063</v>
      </c>
      <c r="E48" s="4"/>
      <c r="F48" s="4"/>
      <c r="G48" s="5"/>
      <c r="H48" s="5"/>
    </row>
    <row r="49" spans="1:10" ht="15.5">
      <c r="A49" s="8">
        <v>45153</v>
      </c>
      <c r="B49" s="9">
        <v>-4000</v>
      </c>
      <c r="C49" s="3" t="s">
        <v>397</v>
      </c>
      <c r="D49" s="22">
        <f t="shared" si="1"/>
        <v>108063</v>
      </c>
      <c r="E49" s="4"/>
      <c r="F49" s="4"/>
      <c r="G49" s="5"/>
      <c r="H49" s="5"/>
    </row>
    <row r="50" spans="1:10" ht="15.5">
      <c r="A50" s="8">
        <v>45153</v>
      </c>
      <c r="B50" s="9">
        <v>-2000</v>
      </c>
      <c r="C50" s="3" t="s">
        <v>37</v>
      </c>
      <c r="D50" s="22">
        <f t="shared" si="1"/>
        <v>106063</v>
      </c>
      <c r="E50" s="4"/>
      <c r="F50" s="4"/>
      <c r="G50" s="5"/>
      <c r="H50" s="5"/>
    </row>
    <row r="51" spans="1:10" ht="15.5">
      <c r="A51" s="8">
        <v>45153</v>
      </c>
      <c r="B51" s="9">
        <v>-30000</v>
      </c>
      <c r="C51" s="3" t="s">
        <v>399</v>
      </c>
      <c r="D51" s="22">
        <f t="shared" si="1"/>
        <v>76063</v>
      </c>
      <c r="E51" s="4"/>
      <c r="F51" s="4"/>
      <c r="G51" s="5"/>
      <c r="H51" s="5"/>
      <c r="J51" s="11">
        <v>284865</v>
      </c>
    </row>
    <row r="52" spans="1:10" ht="15.5">
      <c r="A52" s="8">
        <v>45154</v>
      </c>
      <c r="B52" s="9">
        <v>-3000</v>
      </c>
      <c r="C52" s="3" t="s">
        <v>400</v>
      </c>
      <c r="D52" s="22">
        <f t="shared" si="1"/>
        <v>73063</v>
      </c>
      <c r="E52" s="4"/>
      <c r="F52" s="4" t="s">
        <v>39</v>
      </c>
      <c r="G52" s="2">
        <v>385000</v>
      </c>
      <c r="H52" s="5"/>
    </row>
    <row r="53" spans="1:10" ht="15.5">
      <c r="A53" s="8">
        <v>45154</v>
      </c>
      <c r="B53" s="9">
        <v>-219</v>
      </c>
      <c r="C53" s="3" t="s">
        <v>37</v>
      </c>
      <c r="D53" s="22">
        <f t="shared" si="1"/>
        <v>72844</v>
      </c>
      <c r="E53" s="4"/>
      <c r="F53" s="4" t="s">
        <v>41</v>
      </c>
      <c r="G53" s="2">
        <v>-3133.64</v>
      </c>
      <c r="H53" s="5"/>
    </row>
    <row r="54" spans="1:10" ht="15.5">
      <c r="A54" s="8">
        <v>45155</v>
      </c>
      <c r="B54" s="9">
        <v>-3500</v>
      </c>
      <c r="C54" s="3" t="s">
        <v>401</v>
      </c>
      <c r="D54" s="22">
        <f t="shared" si="1"/>
        <v>69344</v>
      </c>
      <c r="E54" s="4"/>
      <c r="F54" s="19" t="s">
        <v>43</v>
      </c>
      <c r="G54" s="2">
        <v>-368.66</v>
      </c>
      <c r="H54" s="5"/>
    </row>
    <row r="55" spans="1:10" ht="15.5">
      <c r="A55" s="8">
        <v>45155</v>
      </c>
      <c r="B55" s="9">
        <v>-900</v>
      </c>
      <c r="C55" s="3" t="s">
        <v>31</v>
      </c>
      <c r="D55" s="22">
        <f t="shared" si="1"/>
        <v>68444</v>
      </c>
      <c r="E55" s="4"/>
      <c r="F55" s="4" t="s">
        <v>44</v>
      </c>
      <c r="G55" s="2">
        <v>-1163.1300000000001</v>
      </c>
      <c r="H55" s="5"/>
    </row>
    <row r="56" spans="1:10" ht="15.5">
      <c r="A56" s="8">
        <v>45155</v>
      </c>
      <c r="B56" s="9">
        <v>-900</v>
      </c>
      <c r="C56" s="3" t="s">
        <v>19</v>
      </c>
      <c r="D56" s="22">
        <f t="shared" si="1"/>
        <v>67544</v>
      </c>
      <c r="E56" s="4"/>
      <c r="F56" s="4" t="s">
        <v>45</v>
      </c>
      <c r="G56" s="2">
        <v>-553</v>
      </c>
      <c r="H56" s="5"/>
    </row>
    <row r="57" spans="1:10" ht="15.5">
      <c r="A57" s="8">
        <v>45155</v>
      </c>
      <c r="B57" s="9">
        <v>-48950</v>
      </c>
      <c r="C57" s="3" t="s">
        <v>360</v>
      </c>
      <c r="D57" s="22">
        <f t="shared" ref="D57:D83" si="2">+D56+B57</f>
        <v>18594</v>
      </c>
      <c r="E57" s="4"/>
      <c r="F57" s="4" t="s">
        <v>46</v>
      </c>
      <c r="G57" s="2">
        <v>-553</v>
      </c>
      <c r="H57" s="5"/>
    </row>
    <row r="58" spans="1:10" ht="15.5">
      <c r="A58" s="8">
        <v>45155</v>
      </c>
      <c r="B58" s="9">
        <v>150000</v>
      </c>
      <c r="C58" s="3" t="s">
        <v>402</v>
      </c>
      <c r="D58" s="22">
        <f t="shared" si="2"/>
        <v>168594</v>
      </c>
      <c r="E58" s="4"/>
      <c r="F58" s="4" t="s">
        <v>47</v>
      </c>
      <c r="G58" s="2">
        <v>-553</v>
      </c>
      <c r="H58" s="5"/>
    </row>
    <row r="59" spans="1:10" ht="15.5">
      <c r="A59" s="8">
        <v>45155</v>
      </c>
      <c r="B59" s="9">
        <v>44000</v>
      </c>
      <c r="C59" s="3" t="s">
        <v>403</v>
      </c>
      <c r="D59" s="22">
        <f t="shared" si="2"/>
        <v>212594</v>
      </c>
      <c r="E59" s="4"/>
      <c r="H59" s="5"/>
    </row>
    <row r="60" spans="1:10" ht="15.5">
      <c r="A60" s="8">
        <v>45155</v>
      </c>
      <c r="B60" s="9">
        <v>-30000</v>
      </c>
      <c r="C60" s="3" t="s">
        <v>404</v>
      </c>
      <c r="D60" s="22">
        <f t="shared" si="2"/>
        <v>182594</v>
      </c>
      <c r="E60" s="4"/>
      <c r="F60" s="4" t="s">
        <v>48</v>
      </c>
      <c r="G60" s="2">
        <f>SUM(G52:G58)</f>
        <v>378675.57</v>
      </c>
      <c r="H60" s="5"/>
    </row>
    <row r="61" spans="1:10" ht="15.5">
      <c r="A61" s="8">
        <v>45155</v>
      </c>
      <c r="B61" s="9">
        <v>-1990</v>
      </c>
      <c r="C61" s="3" t="s">
        <v>37</v>
      </c>
      <c r="D61" s="22">
        <f t="shared" si="2"/>
        <v>180604</v>
      </c>
      <c r="E61" s="4"/>
      <c r="F61" s="4" t="s">
        <v>49</v>
      </c>
      <c r="G61" s="2">
        <f>+G60*0.25</f>
        <v>94668.892500000002</v>
      </c>
      <c r="H61" s="5"/>
    </row>
    <row r="62" spans="1:10" ht="15.5">
      <c r="A62" s="8">
        <v>45159</v>
      </c>
      <c r="B62" s="9">
        <v>-2678</v>
      </c>
      <c r="C62" s="3" t="s">
        <v>405</v>
      </c>
      <c r="D62" s="22">
        <f t="shared" si="2"/>
        <v>177926</v>
      </c>
      <c r="E62" s="4"/>
      <c r="F62" s="4" t="s">
        <v>50</v>
      </c>
      <c r="G62" s="5">
        <v>-90000</v>
      </c>
      <c r="H62" s="5"/>
      <c r="J62" s="2"/>
    </row>
    <row r="63" spans="1:10" ht="15.5">
      <c r="A63" s="8">
        <v>45160</v>
      </c>
      <c r="B63" s="9">
        <f>-80*56</f>
        <v>-4480</v>
      </c>
      <c r="C63" s="3" t="s">
        <v>406</v>
      </c>
      <c r="D63" s="22">
        <f t="shared" si="2"/>
        <v>173446</v>
      </c>
      <c r="E63" s="4"/>
      <c r="F63" s="4" t="s">
        <v>52</v>
      </c>
      <c r="G63" s="5">
        <f>SUM(G61:G62)</f>
        <v>4668.8925000000017</v>
      </c>
      <c r="H63" s="5"/>
    </row>
    <row r="64" spans="1:10" ht="15.5">
      <c r="A64" s="8">
        <v>45163</v>
      </c>
      <c r="B64" s="9">
        <v>-3186</v>
      </c>
      <c r="C64" s="3" t="s">
        <v>6</v>
      </c>
      <c r="D64" s="22">
        <f t="shared" si="2"/>
        <v>170260</v>
      </c>
      <c r="E64" s="4"/>
      <c r="F64" s="4"/>
      <c r="G64" s="5"/>
      <c r="H64" s="5"/>
    </row>
    <row r="65" spans="1:10" ht="15.5">
      <c r="A65" s="8">
        <v>45163</v>
      </c>
      <c r="B65" s="9">
        <v>-500</v>
      </c>
      <c r="C65" s="3" t="s">
        <v>366</v>
      </c>
      <c r="D65" s="22">
        <f t="shared" si="2"/>
        <v>169760</v>
      </c>
      <c r="E65" s="4"/>
      <c r="F65" s="4"/>
      <c r="G65" s="5"/>
      <c r="H65" s="5"/>
      <c r="J65" s="11"/>
    </row>
    <row r="66" spans="1:10" ht="15.5">
      <c r="A66" s="8">
        <v>45163</v>
      </c>
      <c r="B66" s="9">
        <v>-2700</v>
      </c>
      <c r="C66" s="3" t="s">
        <v>37</v>
      </c>
      <c r="D66" s="22">
        <f t="shared" si="2"/>
        <v>167060</v>
      </c>
      <c r="E66" s="4"/>
      <c r="F66" s="4"/>
      <c r="G66" s="5"/>
      <c r="H66" s="5"/>
    </row>
    <row r="67" spans="1:10" ht="15.5">
      <c r="A67" s="8">
        <v>45163</v>
      </c>
      <c r="B67" s="9">
        <v>-1647</v>
      </c>
      <c r="C67" s="3" t="s">
        <v>407</v>
      </c>
      <c r="D67" s="22">
        <f t="shared" si="2"/>
        <v>165413</v>
      </c>
      <c r="E67" s="4"/>
      <c r="F67" s="4"/>
      <c r="G67" s="5"/>
      <c r="H67" s="5">
        <v>284865</v>
      </c>
    </row>
    <row r="68" spans="1:10" ht="15.5">
      <c r="A68" s="8">
        <v>45163</v>
      </c>
      <c r="B68" s="9">
        <v>-3000</v>
      </c>
      <c r="C68" s="3" t="s">
        <v>408</v>
      </c>
      <c r="D68" s="22">
        <f t="shared" si="2"/>
        <v>162413</v>
      </c>
      <c r="E68" s="4"/>
      <c r="F68" s="4"/>
      <c r="G68" s="5"/>
      <c r="H68" s="5">
        <v>90000</v>
      </c>
    </row>
    <row r="69" spans="1:10" ht="15.5">
      <c r="A69" s="8">
        <v>45163</v>
      </c>
      <c r="B69" s="9">
        <v>-15000</v>
      </c>
      <c r="C69" s="3" t="s">
        <v>409</v>
      </c>
      <c r="D69" s="22">
        <f t="shared" si="2"/>
        <v>147413</v>
      </c>
      <c r="E69" s="4"/>
      <c r="F69" s="17">
        <f>SUM(B27:B67)</f>
        <v>-61755</v>
      </c>
      <c r="G69" s="5"/>
      <c r="H69" s="5">
        <v>5000</v>
      </c>
    </row>
    <row r="70" spans="1:10" ht="15.5">
      <c r="A70" s="8">
        <v>45163</v>
      </c>
      <c r="B70" s="9">
        <v>-400</v>
      </c>
      <c r="C70" s="3" t="s">
        <v>410</v>
      </c>
      <c r="D70" s="22">
        <f t="shared" si="2"/>
        <v>147013</v>
      </c>
      <c r="E70" s="4"/>
      <c r="F70" s="4"/>
      <c r="G70" s="5"/>
      <c r="H70" s="5">
        <f>SUM(H67:H69)</f>
        <v>379865</v>
      </c>
    </row>
    <row r="71" spans="1:10" ht="15.5">
      <c r="A71" s="8">
        <v>45163</v>
      </c>
      <c r="B71" s="12">
        <v>-2200</v>
      </c>
      <c r="C71" s="14" t="s">
        <v>411</v>
      </c>
      <c r="D71" s="22">
        <f t="shared" si="2"/>
        <v>144813</v>
      </c>
      <c r="E71" s="4"/>
      <c r="F71" s="4"/>
      <c r="G71" s="5"/>
      <c r="H71" s="5"/>
    </row>
    <row r="72" spans="1:10" ht="15.5">
      <c r="A72" s="13">
        <v>45164</v>
      </c>
      <c r="B72" s="2">
        <v>-6715</v>
      </c>
      <c r="C72" s="16" t="s">
        <v>37</v>
      </c>
      <c r="D72" s="22">
        <f t="shared" si="2"/>
        <v>138098</v>
      </c>
      <c r="E72" s="4"/>
      <c r="F72" s="4"/>
      <c r="G72" s="5"/>
      <c r="H72" s="5"/>
    </row>
    <row r="73" spans="1:10" ht="15.5">
      <c r="A73" s="13">
        <v>45166</v>
      </c>
      <c r="B73" s="12">
        <v>-1084</v>
      </c>
      <c r="C73" s="14" t="s">
        <v>223</v>
      </c>
      <c r="D73" s="22">
        <f t="shared" si="2"/>
        <v>137014</v>
      </c>
      <c r="E73" s="4"/>
      <c r="F73" s="4"/>
      <c r="G73" s="5"/>
      <c r="H73" s="5"/>
    </row>
    <row r="74" spans="1:10" ht="15.5">
      <c r="A74" s="13">
        <v>45166</v>
      </c>
      <c r="B74" s="12">
        <v>-430</v>
      </c>
      <c r="C74" s="14" t="s">
        <v>366</v>
      </c>
      <c r="D74" s="22">
        <f t="shared" si="2"/>
        <v>136584</v>
      </c>
      <c r="E74" s="4"/>
      <c r="F74" s="4"/>
      <c r="G74" s="5"/>
      <c r="H74" s="5"/>
    </row>
    <row r="75" spans="1:10" ht="15.5">
      <c r="A75" s="13">
        <v>45167</v>
      </c>
      <c r="B75" s="12">
        <v>-14615</v>
      </c>
      <c r="C75" s="14" t="s">
        <v>399</v>
      </c>
      <c r="D75" s="22">
        <f t="shared" si="2"/>
        <v>121969</v>
      </c>
      <c r="E75" s="4"/>
      <c r="F75" s="4"/>
      <c r="G75" s="5"/>
      <c r="H75" s="5"/>
    </row>
    <row r="76" spans="1:10" ht="15.5">
      <c r="A76" s="13">
        <v>45167</v>
      </c>
      <c r="B76" s="12">
        <v>-2500</v>
      </c>
      <c r="C76" s="14" t="s">
        <v>6</v>
      </c>
      <c r="D76" s="22">
        <f t="shared" si="2"/>
        <v>119469</v>
      </c>
      <c r="E76" s="4"/>
      <c r="F76" s="4"/>
      <c r="G76" s="5"/>
      <c r="H76" s="5"/>
    </row>
    <row r="77" spans="1:10" ht="15.5">
      <c r="A77" s="13">
        <v>45167</v>
      </c>
      <c r="B77" s="12">
        <v>-250</v>
      </c>
      <c r="C77" s="14" t="s">
        <v>19</v>
      </c>
      <c r="D77" s="22">
        <f t="shared" si="2"/>
        <v>119219</v>
      </c>
      <c r="E77" s="4"/>
      <c r="F77" s="4"/>
      <c r="G77" s="5"/>
      <c r="H77" s="5"/>
    </row>
    <row r="78" spans="1:10" ht="15.5">
      <c r="A78" s="8">
        <v>45168</v>
      </c>
      <c r="B78" s="9">
        <v>-3500</v>
      </c>
      <c r="C78" s="3" t="s">
        <v>72</v>
      </c>
      <c r="D78" s="22">
        <f t="shared" si="2"/>
        <v>115719</v>
      </c>
      <c r="E78" s="4"/>
      <c r="F78" s="4"/>
      <c r="G78" s="5"/>
      <c r="H78" s="5"/>
    </row>
    <row r="79" spans="1:10" ht="15.5">
      <c r="A79" s="8">
        <v>45168</v>
      </c>
      <c r="B79" s="9">
        <v>-1005</v>
      </c>
      <c r="C79" s="3" t="s">
        <v>37</v>
      </c>
      <c r="D79" s="22">
        <f t="shared" si="2"/>
        <v>114714</v>
      </c>
      <c r="E79" s="4"/>
      <c r="F79" s="4"/>
      <c r="G79" s="5"/>
      <c r="H79" s="5"/>
    </row>
    <row r="80" spans="1:10" ht="15.5">
      <c r="A80" s="8">
        <v>45169</v>
      </c>
      <c r="B80" s="9">
        <v>-2000</v>
      </c>
      <c r="C80" s="3" t="s">
        <v>412</v>
      </c>
      <c r="D80" s="22">
        <f t="shared" si="2"/>
        <v>112714</v>
      </c>
      <c r="E80" s="4"/>
      <c r="F80" s="4"/>
      <c r="G80" s="5"/>
      <c r="H80" s="5"/>
    </row>
    <row r="81" spans="1:8" ht="15.5">
      <c r="A81" s="8">
        <v>45169</v>
      </c>
      <c r="B81" s="9">
        <v>-1000</v>
      </c>
      <c r="C81" s="3" t="s">
        <v>413</v>
      </c>
      <c r="D81" s="22">
        <f t="shared" si="2"/>
        <v>111714</v>
      </c>
      <c r="E81" s="4"/>
      <c r="F81" s="4"/>
      <c r="G81" s="5"/>
      <c r="H81" s="5"/>
    </row>
    <row r="82" spans="1:8" ht="15.5">
      <c r="A82" s="8">
        <v>45169</v>
      </c>
      <c r="B82" s="9">
        <v>-263000</v>
      </c>
      <c r="C82" s="3" t="s">
        <v>81</v>
      </c>
      <c r="D82" s="22">
        <f t="shared" si="2"/>
        <v>-151286</v>
      </c>
      <c r="E82" s="4"/>
      <c r="F82" s="4"/>
      <c r="G82" s="5"/>
      <c r="H82" s="5"/>
    </row>
    <row r="83" spans="1:8" ht="15.5">
      <c r="A83" s="20"/>
      <c r="C83" s="18"/>
      <c r="D83" s="22">
        <f t="shared" si="2"/>
        <v>-151286</v>
      </c>
      <c r="E83" s="4"/>
      <c r="F83" s="4"/>
      <c r="G83" s="5"/>
      <c r="H83" s="5"/>
    </row>
    <row r="84" spans="1:8" ht="15.5">
      <c r="A84" s="8"/>
      <c r="B84" s="9"/>
      <c r="C84" s="3"/>
      <c r="D84" s="22"/>
      <c r="E84" s="4"/>
      <c r="F84" s="4"/>
      <c r="G84" s="5"/>
      <c r="H84" s="5"/>
    </row>
    <row r="85" spans="1:8" ht="15.5">
      <c r="A85" s="8"/>
      <c r="B85" s="9"/>
      <c r="C85" s="3"/>
      <c r="D85" s="22"/>
      <c r="E85" s="4"/>
      <c r="F85" s="4"/>
      <c r="G85" s="5"/>
      <c r="H85" s="5"/>
    </row>
    <row r="86" spans="1:8" ht="15.5">
      <c r="A86" s="8"/>
      <c r="B86" s="9"/>
      <c r="C86" s="3"/>
      <c r="D86" s="22"/>
      <c r="E86" s="4"/>
      <c r="F86" s="4"/>
      <c r="G86" s="5"/>
      <c r="H86" s="5"/>
    </row>
    <row r="87" spans="1:8" ht="15.5">
      <c r="A87" s="8"/>
      <c r="B87" s="9"/>
      <c r="C87" s="3"/>
      <c r="D87" s="22"/>
      <c r="E87" s="4"/>
      <c r="F87" s="4"/>
      <c r="G87" s="5"/>
      <c r="H87" s="5"/>
    </row>
    <row r="88" spans="1:8" ht="15.5">
      <c r="A88" s="8"/>
      <c r="B88" s="9"/>
      <c r="C88" s="3"/>
      <c r="D88" s="22"/>
      <c r="E88" s="4"/>
      <c r="F88" s="4"/>
      <c r="G88" s="5"/>
      <c r="H88" s="5"/>
    </row>
    <row r="89" spans="1:8" ht="15.5">
      <c r="A89" s="8"/>
      <c r="B89" s="9"/>
      <c r="C89" s="3"/>
      <c r="D89" s="22"/>
      <c r="E89" s="4"/>
      <c r="F89" s="4"/>
      <c r="G89" s="5"/>
      <c r="H89" s="5"/>
    </row>
    <row r="90" spans="1:8" ht="15.5">
      <c r="A90" s="8"/>
      <c r="B90" s="9"/>
      <c r="C90" s="3"/>
      <c r="D90" s="22"/>
      <c r="E90" s="4"/>
      <c r="F90" s="4"/>
      <c r="G90" s="5"/>
      <c r="H90" s="5"/>
    </row>
    <row r="91" spans="1:8" ht="15.5">
      <c r="A91" s="8"/>
      <c r="B91" s="9"/>
      <c r="C91" s="3"/>
      <c r="D91" s="22"/>
      <c r="E91" s="4"/>
      <c r="F91" s="4"/>
      <c r="G91" s="5"/>
      <c r="H91" s="5"/>
    </row>
    <row r="92" spans="1:8" ht="15.5">
      <c r="A92" s="8"/>
      <c r="B92" s="9"/>
      <c r="C92" s="3"/>
      <c r="D92" s="22"/>
      <c r="E92" s="4"/>
      <c r="F92" s="4"/>
      <c r="G92" s="5"/>
      <c r="H92" s="5"/>
    </row>
    <row r="93" spans="1:8" ht="15.5">
      <c r="A93" s="8"/>
      <c r="B93" s="9"/>
      <c r="C93" s="3"/>
      <c r="D93" s="22"/>
      <c r="E93" s="4"/>
      <c r="F93" s="4"/>
      <c r="G93" s="5"/>
      <c r="H93" s="5"/>
    </row>
    <row r="94" spans="1:8" ht="15.5">
      <c r="A94" s="8"/>
      <c r="B94" s="9"/>
      <c r="C94" s="3"/>
      <c r="D94" s="22"/>
      <c r="E94" s="4"/>
      <c r="F94" s="4"/>
      <c r="G94" s="5"/>
      <c r="H94" s="5"/>
    </row>
    <row r="95" spans="1:8" ht="15.5">
      <c r="A95" s="8"/>
      <c r="B95" s="9"/>
      <c r="C95" s="3"/>
      <c r="D95" s="22"/>
      <c r="E95" s="4"/>
      <c r="F95" s="4"/>
      <c r="G95" s="5"/>
      <c r="H95" s="5"/>
    </row>
    <row r="96" spans="1:8" ht="15.5">
      <c r="A96" s="8"/>
      <c r="B96" s="9"/>
      <c r="C96" s="3"/>
      <c r="D96" s="22"/>
      <c r="E96" s="4"/>
      <c r="F96" s="4"/>
      <c r="G96" s="5"/>
      <c r="H96" s="5"/>
    </row>
    <row r="97" spans="1:8" ht="15.5">
      <c r="A97" s="8"/>
      <c r="B97" s="9"/>
      <c r="C97" s="3"/>
      <c r="D97" s="22"/>
      <c r="E97" s="4"/>
      <c r="F97" s="4"/>
      <c r="G97" s="5"/>
      <c r="H97" s="5"/>
    </row>
    <row r="98" spans="1:8" ht="15.5">
      <c r="A98" s="8"/>
      <c r="B98" s="9"/>
      <c r="C98" s="3"/>
      <c r="D98" s="22"/>
      <c r="E98" s="4"/>
      <c r="F98" s="4"/>
      <c r="G98" s="5"/>
      <c r="H98" s="5"/>
    </row>
    <row r="99" spans="1:8" ht="15.5">
      <c r="A99" s="8"/>
      <c r="B99" s="9"/>
      <c r="C99" s="3"/>
      <c r="D99" s="22"/>
      <c r="E99" s="4"/>
      <c r="F99" s="4"/>
      <c r="G99" s="5"/>
      <c r="H99" s="5"/>
    </row>
    <row r="100" spans="1:8" ht="15.5">
      <c r="A100" s="13">
        <v>45139</v>
      </c>
      <c r="B100" s="12"/>
      <c r="C100" s="14" t="s">
        <v>82</v>
      </c>
      <c r="D100" s="22"/>
      <c r="E100" s="4"/>
      <c r="F100" s="4"/>
      <c r="G100" s="5"/>
      <c r="H100" s="5"/>
    </row>
    <row r="101" spans="1:8" ht="15.5">
      <c r="A101" s="13">
        <v>45140</v>
      </c>
      <c r="B101" s="12">
        <v>-3700</v>
      </c>
      <c r="C101" s="14" t="s">
        <v>377</v>
      </c>
      <c r="D101" s="22"/>
      <c r="E101" s="4"/>
      <c r="F101" s="4"/>
      <c r="G101" s="5"/>
      <c r="H101" s="5"/>
    </row>
    <row r="102" spans="1:8" ht="15.5">
      <c r="A102" s="8">
        <v>45140</v>
      </c>
      <c r="B102" s="9">
        <v>-2900</v>
      </c>
      <c r="C102" s="3" t="s">
        <v>6</v>
      </c>
      <c r="D102" s="22"/>
      <c r="E102" s="4"/>
      <c r="F102" s="4"/>
      <c r="G102" s="5"/>
      <c r="H102" s="5"/>
    </row>
    <row r="103" spans="1:8" ht="15.5">
      <c r="A103" s="13">
        <v>45141</v>
      </c>
      <c r="C103" s="16" t="s">
        <v>378</v>
      </c>
      <c r="D103" s="22"/>
      <c r="E103" s="4"/>
      <c r="F103" s="4"/>
      <c r="G103" s="5"/>
      <c r="H103" s="5"/>
    </row>
    <row r="104" spans="1:8" ht="15.5">
      <c r="A104" s="13">
        <v>45141</v>
      </c>
      <c r="B104" s="12"/>
      <c r="C104" s="14" t="s">
        <v>379</v>
      </c>
      <c r="D104" s="22"/>
      <c r="E104" s="4"/>
      <c r="F104" s="4"/>
      <c r="G104" s="5"/>
      <c r="H104" s="5"/>
    </row>
    <row r="105" spans="1:8" ht="15.5">
      <c r="A105" s="13">
        <v>45141</v>
      </c>
      <c r="B105" s="12"/>
      <c r="C105" s="14" t="s">
        <v>346</v>
      </c>
      <c r="D105" s="22"/>
      <c r="E105" s="4"/>
      <c r="F105" s="4"/>
      <c r="G105" s="5"/>
      <c r="H105" s="5"/>
    </row>
    <row r="106" spans="1:8" ht="15.5">
      <c r="A106" s="13">
        <v>45141</v>
      </c>
      <c r="B106" s="12"/>
      <c r="C106" s="14" t="s">
        <v>380</v>
      </c>
      <c r="D106" s="22"/>
      <c r="E106" s="4"/>
      <c r="F106" s="4"/>
      <c r="G106" s="5"/>
      <c r="H106" s="5"/>
    </row>
    <row r="107" spans="1:8" ht="15.5">
      <c r="A107" s="8">
        <v>45141</v>
      </c>
      <c r="B107" s="12"/>
      <c r="C107" s="14" t="s">
        <v>381</v>
      </c>
      <c r="D107" s="22"/>
      <c r="E107" s="4"/>
      <c r="F107" s="4"/>
      <c r="G107" s="5"/>
      <c r="H107" s="5"/>
    </row>
    <row r="108" spans="1:8" ht="15.5">
      <c r="A108" s="8">
        <v>45141</v>
      </c>
      <c r="B108" s="9">
        <v>-2000</v>
      </c>
      <c r="C108" s="3" t="s">
        <v>200</v>
      </c>
      <c r="D108" s="22"/>
      <c r="E108" s="4"/>
      <c r="F108" s="4"/>
      <c r="G108" s="5"/>
      <c r="H108" s="5"/>
    </row>
    <row r="109" spans="1:8" ht="15.5">
      <c r="A109" s="8">
        <v>45141</v>
      </c>
      <c r="B109" s="9">
        <v>-5000</v>
      </c>
      <c r="C109" s="3" t="s">
        <v>382</v>
      </c>
      <c r="D109" s="22"/>
      <c r="E109" s="4"/>
      <c r="F109" s="4"/>
      <c r="G109" s="5"/>
      <c r="H109" s="5"/>
    </row>
    <row r="110" spans="1:8" ht="15.5">
      <c r="A110" s="8">
        <v>45142</v>
      </c>
      <c r="B110" s="9">
        <v>-3855</v>
      </c>
      <c r="C110" s="3" t="s">
        <v>37</v>
      </c>
      <c r="D110" s="22"/>
      <c r="E110" s="4"/>
      <c r="F110" s="4"/>
      <c r="G110" s="5"/>
      <c r="H110" s="5"/>
    </row>
    <row r="111" spans="1:8" ht="15.5">
      <c r="A111" s="8">
        <v>45142</v>
      </c>
      <c r="B111" s="9">
        <v>-5800</v>
      </c>
      <c r="C111" s="3" t="s">
        <v>383</v>
      </c>
      <c r="D111" s="22"/>
      <c r="E111" s="4"/>
      <c r="F111" s="4"/>
      <c r="G111" s="5"/>
      <c r="H111" s="5"/>
    </row>
    <row r="112" spans="1:8" ht="15.5">
      <c r="A112" s="8">
        <v>45142</v>
      </c>
      <c r="B112" s="9">
        <v>-2800</v>
      </c>
      <c r="C112" s="3" t="s">
        <v>6</v>
      </c>
      <c r="D112" s="22"/>
      <c r="E112" s="4"/>
      <c r="F112" s="4"/>
      <c r="G112" s="5"/>
      <c r="H112" s="5"/>
    </row>
    <row r="113" spans="1:8" ht="15.5">
      <c r="A113" s="8">
        <v>45143</v>
      </c>
      <c r="B113" s="9"/>
      <c r="C113" s="3" t="s">
        <v>384</v>
      </c>
      <c r="D113" s="22"/>
      <c r="E113" s="4"/>
      <c r="F113" s="4"/>
      <c r="G113" s="5"/>
      <c r="H113" s="5"/>
    </row>
    <row r="114" spans="1:8" ht="15.5">
      <c r="A114" s="8">
        <v>45144</v>
      </c>
      <c r="B114" s="2">
        <v>-2000</v>
      </c>
      <c r="C114" s="18" t="s">
        <v>385</v>
      </c>
      <c r="D114" s="22"/>
      <c r="E114" s="4"/>
      <c r="F114" s="4"/>
      <c r="G114" s="5"/>
      <c r="H114" s="5"/>
    </row>
    <row r="115" spans="1:8" ht="15.5">
      <c r="A115" s="8">
        <v>45144</v>
      </c>
      <c r="B115" s="9">
        <v>-600</v>
      </c>
      <c r="C115" s="3" t="s">
        <v>386</v>
      </c>
      <c r="D115" s="22"/>
      <c r="E115" s="4"/>
      <c r="F115" s="4"/>
      <c r="G115" s="5"/>
      <c r="H115" s="5"/>
    </row>
    <row r="116" spans="1:8" ht="15.5">
      <c r="A116" s="8">
        <v>45145</v>
      </c>
      <c r="B116" s="9"/>
      <c r="C116" s="3" t="s">
        <v>362</v>
      </c>
      <c r="D116" s="22"/>
      <c r="E116" s="4"/>
      <c r="F116" s="4"/>
      <c r="G116" s="5"/>
      <c r="H116" s="5"/>
    </row>
    <row r="117" spans="1:8" ht="15.5">
      <c r="A117" s="8">
        <v>45145</v>
      </c>
      <c r="B117" s="9"/>
      <c r="C117" s="3" t="s">
        <v>360</v>
      </c>
      <c r="D117" s="22"/>
      <c r="E117" s="4"/>
      <c r="F117" s="4"/>
      <c r="G117" s="5"/>
      <c r="H117" s="5"/>
    </row>
    <row r="118" spans="1:8" ht="15.5">
      <c r="A118" s="8">
        <v>45145</v>
      </c>
      <c r="B118" s="9">
        <v>-1654</v>
      </c>
      <c r="C118" s="3" t="s">
        <v>38</v>
      </c>
      <c r="D118" s="22"/>
      <c r="E118" s="4"/>
      <c r="F118" s="4"/>
      <c r="G118" s="5"/>
      <c r="H118" s="5"/>
    </row>
    <row r="119" spans="1:8" ht="15.5">
      <c r="A119" s="8">
        <v>45145</v>
      </c>
      <c r="B119" s="9"/>
      <c r="C119" s="3" t="s">
        <v>387</v>
      </c>
      <c r="D119" s="22"/>
      <c r="E119" s="4"/>
      <c r="F119" s="4"/>
      <c r="G119" s="5"/>
      <c r="H119" s="5"/>
    </row>
    <row r="120" spans="1:8" ht="15.5">
      <c r="A120" s="8">
        <v>45145</v>
      </c>
      <c r="B120" s="9"/>
      <c r="C120" s="3" t="s">
        <v>387</v>
      </c>
      <c r="D120" s="22"/>
      <c r="E120" s="4"/>
      <c r="F120" s="4"/>
      <c r="G120" s="5"/>
      <c r="H120" s="5"/>
    </row>
    <row r="121" spans="1:8" ht="15.5">
      <c r="A121" s="8">
        <v>45146</v>
      </c>
      <c r="B121" s="9"/>
      <c r="C121" s="3" t="s">
        <v>114</v>
      </c>
      <c r="D121" s="22"/>
      <c r="E121" s="4"/>
      <c r="F121" s="4"/>
      <c r="G121" s="5"/>
      <c r="H121" s="5"/>
    </row>
    <row r="122" spans="1:8" ht="15.5">
      <c r="A122" s="8">
        <v>45146</v>
      </c>
      <c r="B122" s="9"/>
      <c r="C122" s="3" t="s">
        <v>114</v>
      </c>
      <c r="D122" s="22"/>
      <c r="E122" s="4"/>
      <c r="F122" s="4"/>
      <c r="G122" s="5"/>
      <c r="H122" s="5"/>
    </row>
    <row r="123" spans="1:8" ht="15.5">
      <c r="A123" s="8">
        <v>45147</v>
      </c>
      <c r="B123" s="9">
        <v>-16800</v>
      </c>
      <c r="C123" s="3" t="s">
        <v>388</v>
      </c>
      <c r="D123" s="22"/>
      <c r="E123" s="4"/>
      <c r="F123" s="4"/>
      <c r="G123" s="5"/>
      <c r="H123" s="5"/>
    </row>
    <row r="124" spans="1:8" ht="15.5">
      <c r="A124" s="8">
        <v>45147</v>
      </c>
      <c r="B124" s="9">
        <v>-370</v>
      </c>
      <c r="C124" s="3" t="s">
        <v>389</v>
      </c>
      <c r="D124" s="22"/>
      <c r="E124" s="4"/>
      <c r="F124" s="4"/>
      <c r="G124" s="5"/>
      <c r="H124" s="5"/>
    </row>
    <row r="125" spans="1:8" ht="15.5">
      <c r="A125" s="8">
        <v>45147</v>
      </c>
      <c r="B125" s="9">
        <v>-2800</v>
      </c>
      <c r="C125" s="3" t="s">
        <v>6</v>
      </c>
      <c r="D125" s="22"/>
      <c r="E125" s="4"/>
      <c r="F125" s="4"/>
      <c r="G125" s="5"/>
      <c r="H125" s="5"/>
    </row>
    <row r="126" spans="1:8" ht="15.5">
      <c r="A126" s="8">
        <v>45147</v>
      </c>
      <c r="B126" s="9">
        <v>-2000</v>
      </c>
      <c r="C126" s="3" t="s">
        <v>19</v>
      </c>
      <c r="D126" s="22"/>
      <c r="E126" s="4"/>
      <c r="F126" s="4"/>
      <c r="G126" s="5"/>
      <c r="H126" s="5"/>
    </row>
    <row r="127" spans="1:8" ht="15.5">
      <c r="A127" s="8">
        <v>45147</v>
      </c>
      <c r="B127" s="9">
        <v>-56000</v>
      </c>
      <c r="C127" s="3" t="s">
        <v>390</v>
      </c>
      <c r="D127" s="22"/>
      <c r="E127" s="4"/>
      <c r="F127" s="4"/>
      <c r="G127" s="5"/>
      <c r="H127" s="5"/>
    </row>
    <row r="128" spans="1:8" ht="15.5">
      <c r="A128" s="8">
        <v>45147</v>
      </c>
      <c r="B128" s="9">
        <v>-16000</v>
      </c>
      <c r="C128" s="3" t="s">
        <v>34</v>
      </c>
      <c r="D128" s="22"/>
      <c r="E128" s="17"/>
      <c r="F128" s="4"/>
      <c r="G128" s="5"/>
      <c r="H128" s="5"/>
    </row>
    <row r="129" spans="1:8" ht="15.5">
      <c r="A129" s="13">
        <v>45147</v>
      </c>
      <c r="B129" s="12">
        <v>-14000</v>
      </c>
      <c r="C129" s="3" t="s">
        <v>200</v>
      </c>
      <c r="D129" s="22"/>
    </row>
    <row r="130" spans="1:8" ht="15.5">
      <c r="A130" s="8">
        <v>45147</v>
      </c>
      <c r="B130" s="9"/>
      <c r="C130" s="3" t="s">
        <v>391</v>
      </c>
      <c r="D130" s="22"/>
      <c r="G130" s="2">
        <v>250</v>
      </c>
      <c r="H130" s="11">
        <f>+F130*G130</f>
        <v>0</v>
      </c>
    </row>
    <row r="131" spans="1:8" ht="15.5">
      <c r="A131" s="8">
        <v>45148</v>
      </c>
      <c r="B131" s="9">
        <v>-2535</v>
      </c>
      <c r="C131" s="3" t="s">
        <v>392</v>
      </c>
      <c r="D131" s="22"/>
      <c r="G131" s="2">
        <v>250</v>
      </c>
      <c r="H131" s="11">
        <f>+F131*G131</f>
        <v>0</v>
      </c>
    </row>
    <row r="132" spans="1:8" ht="15.5">
      <c r="A132" s="8">
        <v>45149</v>
      </c>
      <c r="B132" s="9">
        <v>-240</v>
      </c>
      <c r="C132" s="3" t="s">
        <v>393</v>
      </c>
      <c r="D132" s="22"/>
    </row>
    <row r="133" spans="1:8" ht="15.5">
      <c r="A133" s="8">
        <v>45149</v>
      </c>
      <c r="B133" s="9">
        <v>-2500</v>
      </c>
      <c r="C133" s="3" t="s">
        <v>394</v>
      </c>
      <c r="D133" s="22"/>
    </row>
    <row r="134" spans="1:8" ht="15.5">
      <c r="A134" s="8">
        <v>45150</v>
      </c>
      <c r="B134" s="9">
        <v>-800</v>
      </c>
      <c r="C134" s="3" t="s">
        <v>395</v>
      </c>
      <c r="D134" s="22"/>
    </row>
    <row r="135" spans="1:8" ht="15.5">
      <c r="A135" s="23">
        <v>45150</v>
      </c>
      <c r="B135" s="5">
        <v>-1200</v>
      </c>
      <c r="C135" s="18" t="s">
        <v>396</v>
      </c>
      <c r="D135" s="22"/>
    </row>
    <row r="136" spans="1:8" ht="15.5">
      <c r="A136" s="8">
        <v>45150</v>
      </c>
      <c r="B136" s="9">
        <v>-4000</v>
      </c>
      <c r="C136" s="3" t="s">
        <v>397</v>
      </c>
      <c r="D136" s="22"/>
      <c r="H136">
        <v>15000</v>
      </c>
    </row>
    <row r="137" spans="1:8" ht="15.5">
      <c r="A137" s="8">
        <v>45151</v>
      </c>
      <c r="B137" s="9"/>
      <c r="C137" s="3" t="s">
        <v>398</v>
      </c>
      <c r="D137" s="22"/>
    </row>
    <row r="138" spans="1:8" ht="15.5">
      <c r="A138" s="23">
        <v>45153</v>
      </c>
      <c r="B138" s="5">
        <v>-3000</v>
      </c>
      <c r="C138" s="18" t="s">
        <v>6</v>
      </c>
      <c r="D138" s="22"/>
    </row>
    <row r="139" spans="1:8" ht="15.5">
      <c r="A139" s="13">
        <v>45153</v>
      </c>
      <c r="B139" s="12"/>
      <c r="C139" s="3" t="s">
        <v>19</v>
      </c>
      <c r="D139" s="22"/>
    </row>
    <row r="140" spans="1:8" ht="15.5">
      <c r="A140" s="8">
        <v>45153</v>
      </c>
      <c r="B140" s="9"/>
      <c r="C140" s="3" t="s">
        <v>397</v>
      </c>
      <c r="D140" s="22"/>
    </row>
    <row r="141" spans="1:8" ht="15.5">
      <c r="A141" s="8">
        <v>45153</v>
      </c>
      <c r="B141" s="9">
        <v>-2000</v>
      </c>
      <c r="C141" s="3" t="s">
        <v>37</v>
      </c>
      <c r="D141" s="22"/>
    </row>
    <row r="142" spans="1:8" ht="15.5">
      <c r="A142" s="8">
        <v>45153</v>
      </c>
      <c r="B142" s="9"/>
      <c r="C142" s="3" t="s">
        <v>399</v>
      </c>
      <c r="D142" s="22"/>
    </row>
    <row r="143" spans="1:8" ht="15.5">
      <c r="A143" s="8">
        <v>45154</v>
      </c>
      <c r="B143" s="9">
        <v>-3000</v>
      </c>
      <c r="C143" s="3" t="s">
        <v>400</v>
      </c>
      <c r="D143" s="22"/>
    </row>
    <row r="144" spans="1:8" ht="15.5">
      <c r="A144" s="8">
        <v>45154</v>
      </c>
      <c r="B144" s="9">
        <v>-219</v>
      </c>
      <c r="C144" s="3" t="s">
        <v>37</v>
      </c>
      <c r="D144" s="22"/>
    </row>
    <row r="145" spans="1:8" ht="15.5">
      <c r="A145" s="8">
        <v>45155</v>
      </c>
      <c r="B145" s="9"/>
      <c r="C145" s="3" t="s">
        <v>401</v>
      </c>
      <c r="D145" s="22"/>
      <c r="F145">
        <v>325000</v>
      </c>
      <c r="G145" s="24">
        <v>3.4200000000000001E-2</v>
      </c>
      <c r="H145" s="11">
        <f>+F145*G145</f>
        <v>11115</v>
      </c>
    </row>
    <row r="146" spans="1:8" ht="15.5">
      <c r="A146" s="8">
        <v>45155</v>
      </c>
      <c r="B146" s="9"/>
      <c r="C146" s="3" t="s">
        <v>31</v>
      </c>
      <c r="D146" s="22"/>
      <c r="F146">
        <v>1325000</v>
      </c>
      <c r="G146" s="25">
        <v>3.4200000000000001E-2</v>
      </c>
      <c r="H146" s="11">
        <f>+F146*G146</f>
        <v>45315</v>
      </c>
    </row>
    <row r="147" spans="1:8" ht="15.5">
      <c r="A147" s="8">
        <v>45155</v>
      </c>
      <c r="B147" s="9"/>
      <c r="C147" s="3" t="s">
        <v>19</v>
      </c>
      <c r="D147" s="22"/>
    </row>
    <row r="148" spans="1:8" ht="15.5">
      <c r="A148" s="8">
        <v>45155</v>
      </c>
      <c r="B148" s="9"/>
      <c r="C148" s="3" t="s">
        <v>360</v>
      </c>
      <c r="D148" s="22"/>
    </row>
    <row r="149" spans="1:8" ht="15.5">
      <c r="A149" s="8">
        <v>45155</v>
      </c>
      <c r="B149" s="9"/>
      <c r="C149" s="3" t="s">
        <v>402</v>
      </c>
      <c r="D149" s="10"/>
      <c r="F149">
        <f>250*5300</f>
        <v>1325000</v>
      </c>
      <c r="H149">
        <f>SUM(H136:H148)</f>
        <v>71430</v>
      </c>
    </row>
    <row r="150" spans="1:8" ht="15.5">
      <c r="A150" s="8">
        <v>45155</v>
      </c>
      <c r="B150" s="9"/>
      <c r="C150" s="3" t="s">
        <v>403</v>
      </c>
    </row>
    <row r="151" spans="1:8" ht="15.5">
      <c r="A151" s="8">
        <v>45155</v>
      </c>
      <c r="B151" s="9"/>
      <c r="C151" s="3" t="s">
        <v>404</v>
      </c>
    </row>
    <row r="152" spans="1:8" ht="15.5">
      <c r="A152" s="8">
        <v>45155</v>
      </c>
      <c r="B152" s="9">
        <v>-1990</v>
      </c>
      <c r="C152" s="3" t="s">
        <v>37</v>
      </c>
    </row>
    <row r="153" spans="1:8" ht="15.5">
      <c r="A153" s="8">
        <v>45159</v>
      </c>
      <c r="B153" s="9">
        <v>-2678</v>
      </c>
      <c r="C153" s="3" t="s">
        <v>405</v>
      </c>
    </row>
    <row r="154" spans="1:8" ht="15.5">
      <c r="A154" s="8">
        <v>45160</v>
      </c>
      <c r="B154" s="9">
        <f>-80*56</f>
        <v>-4480</v>
      </c>
      <c r="C154" s="3" t="s">
        <v>406</v>
      </c>
    </row>
    <row r="155" spans="1:8" ht="15.5">
      <c r="A155" s="8">
        <v>45163</v>
      </c>
      <c r="B155" s="9">
        <v>-3186</v>
      </c>
      <c r="C155" s="3" t="s">
        <v>6</v>
      </c>
    </row>
    <row r="156" spans="1:8" ht="15.5">
      <c r="A156" s="8">
        <v>45163</v>
      </c>
      <c r="B156" s="9">
        <v>-500</v>
      </c>
      <c r="C156" s="3" t="s">
        <v>366</v>
      </c>
    </row>
    <row r="157" spans="1:8" ht="15.5">
      <c r="A157" s="8">
        <v>45163</v>
      </c>
      <c r="B157" s="9">
        <v>-2700</v>
      </c>
      <c r="C157" s="3" t="s">
        <v>37</v>
      </c>
    </row>
    <row r="158" spans="1:8" ht="15.5">
      <c r="A158" s="8">
        <v>45163</v>
      </c>
      <c r="B158" s="9">
        <v>-1647</v>
      </c>
      <c r="C158" s="3" t="s">
        <v>407</v>
      </c>
    </row>
    <row r="159" spans="1:8" ht="15.5">
      <c r="A159" s="8">
        <v>45163</v>
      </c>
      <c r="B159" s="9"/>
      <c r="C159" s="3" t="s">
        <v>408</v>
      </c>
    </row>
    <row r="160" spans="1:8" ht="15.5">
      <c r="A160" s="8">
        <v>45163</v>
      </c>
      <c r="B160" s="9"/>
      <c r="C160" s="3" t="s">
        <v>409</v>
      </c>
    </row>
    <row r="161" spans="1:3" ht="15.5">
      <c r="A161" s="8">
        <v>45163</v>
      </c>
      <c r="B161" s="9">
        <v>-400</v>
      </c>
      <c r="C161" s="3" t="s">
        <v>410</v>
      </c>
    </row>
    <row r="162" spans="1:3" ht="15.5">
      <c r="A162" s="8">
        <v>45163</v>
      </c>
      <c r="B162" s="12">
        <v>-2200</v>
      </c>
      <c r="C162" s="14" t="s">
        <v>411</v>
      </c>
    </row>
    <row r="163" spans="1:3">
      <c r="A163" s="13">
        <v>45164</v>
      </c>
      <c r="B163" s="2">
        <v>-6715</v>
      </c>
      <c r="C163" s="16" t="s">
        <v>37</v>
      </c>
    </row>
    <row r="164" spans="1:3">
      <c r="A164" s="13">
        <v>45166</v>
      </c>
      <c r="B164" s="12">
        <v>-1084</v>
      </c>
      <c r="C164" s="14" t="s">
        <v>223</v>
      </c>
    </row>
    <row r="165" spans="1:3">
      <c r="A165" s="13">
        <v>45166</v>
      </c>
      <c r="B165" s="12">
        <v>-430</v>
      </c>
      <c r="C165" s="14" t="s">
        <v>366</v>
      </c>
    </row>
    <row r="166" spans="1:3">
      <c r="A166" s="13">
        <v>45167</v>
      </c>
      <c r="B166" s="12"/>
      <c r="C166" s="14" t="s">
        <v>399</v>
      </c>
    </row>
    <row r="167" spans="1:3">
      <c r="A167" s="13">
        <v>45167</v>
      </c>
      <c r="B167" s="12">
        <v>-2500</v>
      </c>
      <c r="C167" s="14" t="s">
        <v>6</v>
      </c>
    </row>
    <row r="168" spans="1:3">
      <c r="A168" s="13">
        <v>45167</v>
      </c>
      <c r="B168" s="12">
        <v>-250</v>
      </c>
      <c r="C168" s="14" t="s">
        <v>19</v>
      </c>
    </row>
    <row r="169" spans="1:3" ht="15.5">
      <c r="A169" s="8">
        <v>45168</v>
      </c>
      <c r="B169" s="9"/>
      <c r="C169" s="3" t="s">
        <v>72</v>
      </c>
    </row>
    <row r="170" spans="1:3" ht="15.5">
      <c r="A170" s="8">
        <v>45168</v>
      </c>
      <c r="B170" s="9">
        <v>-1005</v>
      </c>
      <c r="C170" s="3" t="s">
        <v>37</v>
      </c>
    </row>
    <row r="171" spans="1:3" ht="15.5">
      <c r="A171" s="8">
        <v>45169</v>
      </c>
      <c r="B171" s="9"/>
      <c r="C171" s="3" t="s">
        <v>412</v>
      </c>
    </row>
    <row r="172" spans="1:3" ht="15.5">
      <c r="A172" s="8">
        <v>45169</v>
      </c>
      <c r="B172" s="9"/>
      <c r="C172" s="3" t="s">
        <v>413</v>
      </c>
    </row>
    <row r="176" spans="1:3">
      <c r="B176" s="2">
        <f>SUM(B100:B175)</f>
        <v>-189538</v>
      </c>
    </row>
  </sheetData>
  <mergeCells count="2">
    <mergeCell ref="A1:C1"/>
    <mergeCell ref="G2:H2"/>
  </mergeCells>
  <pageMargins left="0.7" right="0.7" top="0.75" bottom="0.75" header="0.511811023622047" footer="0.511811023622047"/>
  <pageSetup orientation="portrait" horizontalDpi="300" verticalDpi="30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8"/>
  <sheetViews>
    <sheetView topLeftCell="A124" zoomScaleNormal="100" workbookViewId="0">
      <selection activeCell="E131" sqref="E131"/>
    </sheetView>
  </sheetViews>
  <sheetFormatPr baseColWidth="10" defaultColWidth="9.1796875" defaultRowHeight="15.5"/>
  <cols>
    <col min="1" max="1" width="9.26953125" style="4" customWidth="1"/>
    <col min="2" max="2" width="15.7265625" style="5" customWidth="1"/>
    <col min="3" max="3" width="25.1796875" style="4" customWidth="1"/>
    <col min="4" max="4" width="12.7265625" style="4" customWidth="1"/>
    <col min="5" max="5" width="11.453125" style="4" customWidth="1"/>
    <col min="6" max="6" width="12.54296875" style="4" customWidth="1"/>
    <col min="7" max="7" width="18.26953125" style="4" customWidth="1"/>
    <col min="8" max="8" width="19.81640625" style="5" customWidth="1"/>
    <col min="9" max="10" width="9.1796875" style="4"/>
    <col min="11" max="11" width="9.26953125" style="4" customWidth="1"/>
    <col min="12" max="16384" width="9.1796875" style="4"/>
  </cols>
  <sheetData>
    <row r="1" spans="1:12">
      <c r="A1" s="209" t="s">
        <v>0</v>
      </c>
      <c r="B1" s="209"/>
      <c r="C1" s="209"/>
      <c r="D1" s="209"/>
    </row>
    <row r="2" spans="1:12">
      <c r="A2" s="6" t="s">
        <v>1</v>
      </c>
      <c r="B2" s="7" t="s">
        <v>2</v>
      </c>
      <c r="C2" s="6" t="s">
        <v>3</v>
      </c>
      <c r="D2" s="6" t="s">
        <v>136</v>
      </c>
      <c r="G2" s="210" t="s">
        <v>4</v>
      </c>
      <c r="H2" s="210"/>
    </row>
    <row r="3" spans="1:12">
      <c r="A3" s="8"/>
      <c r="B3" s="9">
        <v>350</v>
      </c>
      <c r="C3" s="3" t="s">
        <v>240</v>
      </c>
      <c r="D3" s="3"/>
      <c r="G3" s="3" t="s">
        <v>6</v>
      </c>
      <c r="H3" s="9">
        <v>20000</v>
      </c>
      <c r="K3" s="4">
        <f>2000*54.6</f>
        <v>109200</v>
      </c>
    </row>
    <row r="4" spans="1:12">
      <c r="A4" s="8"/>
      <c r="B4" s="9">
        <v>1170</v>
      </c>
      <c r="C4" s="3" t="s">
        <v>241</v>
      </c>
      <c r="D4" s="3"/>
      <c r="G4" s="3" t="s">
        <v>7</v>
      </c>
      <c r="H4" s="9">
        <v>30000</v>
      </c>
      <c r="K4" s="4">
        <v>-4500</v>
      </c>
      <c r="L4" s="4" t="s">
        <v>414</v>
      </c>
    </row>
    <row r="5" spans="1:12">
      <c r="A5" s="8"/>
      <c r="B5" s="9">
        <v>7000</v>
      </c>
      <c r="C5" s="3" t="s">
        <v>242</v>
      </c>
      <c r="D5" s="3"/>
      <c r="G5" s="3" t="s">
        <v>9</v>
      </c>
      <c r="H5" s="9">
        <v>40000</v>
      </c>
    </row>
    <row r="6" spans="1:12">
      <c r="A6" s="8">
        <v>45017</v>
      </c>
      <c r="B6" s="9"/>
      <c r="C6" s="3" t="s">
        <v>415</v>
      </c>
      <c r="D6" s="3"/>
      <c r="G6" s="3" t="s">
        <v>11</v>
      </c>
      <c r="H6" s="9">
        <v>5000</v>
      </c>
      <c r="K6" s="4">
        <v>-2400</v>
      </c>
    </row>
    <row r="7" spans="1:12">
      <c r="A7" s="8">
        <v>45017</v>
      </c>
      <c r="B7" s="9">
        <f>+'Control Inversión'!AE13</f>
        <v>0</v>
      </c>
      <c r="C7" s="3" t="s">
        <v>416</v>
      </c>
      <c r="D7" s="3"/>
      <c r="G7" s="3" t="s">
        <v>13</v>
      </c>
      <c r="H7" s="9">
        <v>3000</v>
      </c>
      <c r="K7" s="4">
        <v>-4500</v>
      </c>
      <c r="L7" s="4" t="s">
        <v>37</v>
      </c>
    </row>
    <row r="8" spans="1:12">
      <c r="A8" s="8">
        <v>45017</v>
      </c>
      <c r="B8" s="9">
        <v>35000</v>
      </c>
      <c r="C8" s="3" t="s">
        <v>417</v>
      </c>
      <c r="D8" s="3"/>
      <c r="G8" s="3" t="s">
        <v>15</v>
      </c>
      <c r="H8" s="9">
        <v>5000</v>
      </c>
      <c r="K8" s="4">
        <v>-2000</v>
      </c>
      <c r="L8" s="4" t="s">
        <v>418</v>
      </c>
    </row>
    <row r="9" spans="1:12">
      <c r="A9" s="8">
        <v>45017</v>
      </c>
      <c r="B9" s="9">
        <v>115000</v>
      </c>
      <c r="C9" s="3" t="s">
        <v>419</v>
      </c>
      <c r="D9" s="10">
        <f>+B9+B8</f>
        <v>150000</v>
      </c>
      <c r="G9" s="3" t="s">
        <v>18</v>
      </c>
      <c r="H9" s="9">
        <v>1500</v>
      </c>
      <c r="K9" s="4">
        <f>SUM(K3:K8)</f>
        <v>95800</v>
      </c>
    </row>
    <row r="10" spans="1:12">
      <c r="A10" s="8">
        <v>45018</v>
      </c>
      <c r="B10" s="9">
        <v>-2500</v>
      </c>
      <c r="C10" s="3" t="s">
        <v>420</v>
      </c>
      <c r="D10" s="10">
        <f t="shared" ref="D10:D41" si="0">+D9+B10</f>
        <v>147500</v>
      </c>
      <c r="E10" s="4" t="s">
        <v>421</v>
      </c>
      <c r="G10" s="3" t="s">
        <v>19</v>
      </c>
      <c r="H10" s="9">
        <v>10000</v>
      </c>
    </row>
    <row r="11" spans="1:12">
      <c r="A11" s="8">
        <v>45018</v>
      </c>
      <c r="B11" s="9">
        <v>-5000</v>
      </c>
      <c r="C11" s="3" t="s">
        <v>7</v>
      </c>
      <c r="D11" s="10">
        <f t="shared" si="0"/>
        <v>142500</v>
      </c>
      <c r="E11" s="4" t="s">
        <v>421</v>
      </c>
      <c r="G11" s="3" t="s">
        <v>21</v>
      </c>
      <c r="H11" s="9">
        <v>1500</v>
      </c>
    </row>
    <row r="12" spans="1:12">
      <c r="A12" s="8">
        <v>45018</v>
      </c>
      <c r="B12" s="9">
        <v>-2000</v>
      </c>
      <c r="C12" s="3" t="s">
        <v>422</v>
      </c>
      <c r="D12" s="10">
        <f t="shared" si="0"/>
        <v>140500</v>
      </c>
      <c r="E12" s="4" t="s">
        <v>423</v>
      </c>
      <c r="G12" s="3" t="s">
        <v>23</v>
      </c>
      <c r="H12" s="9">
        <v>25000</v>
      </c>
    </row>
    <row r="13" spans="1:12">
      <c r="A13" s="8">
        <v>45018</v>
      </c>
      <c r="B13" s="9">
        <v>-2500</v>
      </c>
      <c r="C13" s="3" t="s">
        <v>424</v>
      </c>
      <c r="D13" s="10">
        <f t="shared" si="0"/>
        <v>138000</v>
      </c>
      <c r="G13" s="3" t="s">
        <v>25</v>
      </c>
      <c r="H13" s="9">
        <v>1500</v>
      </c>
    </row>
    <row r="14" spans="1:12">
      <c r="A14" s="8">
        <v>45018</v>
      </c>
      <c r="B14" s="9">
        <v>-2000</v>
      </c>
      <c r="C14" s="3" t="s">
        <v>425</v>
      </c>
      <c r="D14" s="10">
        <f t="shared" si="0"/>
        <v>136000</v>
      </c>
      <c r="E14" s="4" t="s">
        <v>423</v>
      </c>
      <c r="G14" s="3"/>
      <c r="H14" s="9"/>
      <c r="K14" s="4">
        <v>12</v>
      </c>
    </row>
    <row r="15" spans="1:12">
      <c r="A15" s="8">
        <v>45018</v>
      </c>
      <c r="B15" s="9">
        <v>-1500</v>
      </c>
      <c r="C15" s="3" t="s">
        <v>33</v>
      </c>
      <c r="D15" s="10">
        <f t="shared" si="0"/>
        <v>134500</v>
      </c>
      <c r="E15" s="4" t="s">
        <v>423</v>
      </c>
      <c r="G15" s="3"/>
      <c r="H15" s="9"/>
      <c r="K15" s="4">
        <v>8</v>
      </c>
    </row>
    <row r="16" spans="1:12">
      <c r="A16" s="8">
        <v>45021</v>
      </c>
      <c r="B16" s="9">
        <v>-2800</v>
      </c>
      <c r="C16" s="3" t="s">
        <v>6</v>
      </c>
      <c r="D16" s="10">
        <f t="shared" si="0"/>
        <v>131700</v>
      </c>
      <c r="E16" s="4" t="s">
        <v>426</v>
      </c>
      <c r="G16" s="80" t="s">
        <v>27</v>
      </c>
      <c r="H16" s="15">
        <f>SUM(H3:H14)</f>
        <v>142500</v>
      </c>
      <c r="K16" s="4">
        <v>15</v>
      </c>
    </row>
    <row r="17" spans="1:11">
      <c r="A17" s="8">
        <v>45022</v>
      </c>
      <c r="B17" s="9">
        <v>-2100</v>
      </c>
      <c r="C17" s="3" t="s">
        <v>7</v>
      </c>
      <c r="D17" s="10">
        <f t="shared" si="0"/>
        <v>129600</v>
      </c>
      <c r="E17" s="4" t="s">
        <v>423</v>
      </c>
      <c r="H17" s="5">
        <f>+H16/54</f>
        <v>2638.8888888888887</v>
      </c>
    </row>
    <row r="18" spans="1:11">
      <c r="A18" s="8">
        <v>45028</v>
      </c>
      <c r="B18" s="9">
        <v>-1500</v>
      </c>
      <c r="C18" s="3" t="s">
        <v>7</v>
      </c>
      <c r="D18" s="10">
        <f t="shared" si="0"/>
        <v>128100</v>
      </c>
      <c r="E18" s="4" t="s">
        <v>423</v>
      </c>
      <c r="K18" s="4">
        <f>SUM(K14:K17)</f>
        <v>35</v>
      </c>
    </row>
    <row r="19" spans="1:11">
      <c r="A19" s="8">
        <v>45028</v>
      </c>
      <c r="B19" s="9">
        <v>-700</v>
      </c>
      <c r="C19" s="3" t="s">
        <v>21</v>
      </c>
      <c r="D19" s="10">
        <f t="shared" si="0"/>
        <v>127400</v>
      </c>
    </row>
    <row r="20" spans="1:11">
      <c r="A20" s="8">
        <v>45028</v>
      </c>
      <c r="B20" s="9">
        <v>-800</v>
      </c>
      <c r="C20" s="3" t="s">
        <v>427</v>
      </c>
      <c r="D20" s="10">
        <f t="shared" si="0"/>
        <v>126600</v>
      </c>
      <c r="G20" s="4" t="s">
        <v>77</v>
      </c>
    </row>
    <row r="21" spans="1:11">
      <c r="A21" s="8">
        <v>45027</v>
      </c>
      <c r="B21" s="9">
        <v>-2400</v>
      </c>
      <c r="C21" s="3" t="s">
        <v>19</v>
      </c>
      <c r="D21" s="10">
        <f t="shared" si="0"/>
        <v>124200</v>
      </c>
      <c r="E21" s="4" t="s">
        <v>428</v>
      </c>
      <c r="G21" s="4" t="s">
        <v>78</v>
      </c>
      <c r="H21" s="5">
        <f>1100*55</f>
        <v>60500</v>
      </c>
    </row>
    <row r="22" spans="1:11">
      <c r="A22" s="8">
        <v>45026</v>
      </c>
      <c r="B22" s="9">
        <v>-1500</v>
      </c>
      <c r="C22" s="3" t="s">
        <v>18</v>
      </c>
      <c r="D22" s="10">
        <f t="shared" si="0"/>
        <v>122700</v>
      </c>
      <c r="G22" s="4" t="s">
        <v>79</v>
      </c>
      <c r="H22" s="5">
        <f>7000000*0.07/12</f>
        <v>40833.333333333336</v>
      </c>
    </row>
    <row r="23" spans="1:11">
      <c r="A23" s="8">
        <v>45025</v>
      </c>
      <c r="B23" s="9">
        <v>-800</v>
      </c>
      <c r="C23" s="3" t="s">
        <v>7</v>
      </c>
      <c r="D23" s="10">
        <f t="shared" si="0"/>
        <v>121900</v>
      </c>
      <c r="E23" s="4" t="s">
        <v>423</v>
      </c>
    </row>
    <row r="24" spans="1:11">
      <c r="A24" s="8">
        <v>45028</v>
      </c>
      <c r="B24" s="9">
        <v>-1200</v>
      </c>
      <c r="C24" s="3" t="s">
        <v>19</v>
      </c>
      <c r="D24" s="10">
        <f t="shared" si="0"/>
        <v>120700</v>
      </c>
      <c r="E24" s="4" t="s">
        <v>428</v>
      </c>
    </row>
    <row r="25" spans="1:11">
      <c r="A25" s="8">
        <v>45028</v>
      </c>
      <c r="B25" s="9">
        <v>-700</v>
      </c>
      <c r="C25" s="3" t="s">
        <v>190</v>
      </c>
      <c r="D25" s="10">
        <f t="shared" si="0"/>
        <v>120000</v>
      </c>
      <c r="G25" s="216" t="s">
        <v>429</v>
      </c>
      <c r="H25" s="216"/>
    </row>
    <row r="26" spans="1:11">
      <c r="A26" s="8">
        <v>45019</v>
      </c>
      <c r="B26" s="9">
        <v>-1700</v>
      </c>
      <c r="C26" s="3" t="s">
        <v>38</v>
      </c>
      <c r="D26" s="10">
        <f t="shared" si="0"/>
        <v>118300</v>
      </c>
      <c r="G26" s="3" t="s">
        <v>258</v>
      </c>
      <c r="H26" s="9">
        <v>102000</v>
      </c>
    </row>
    <row r="27" spans="1:11">
      <c r="A27" s="8">
        <v>45023</v>
      </c>
      <c r="B27" s="9">
        <v>-2300</v>
      </c>
      <c r="C27" s="3" t="s">
        <v>430</v>
      </c>
      <c r="D27" s="10">
        <f t="shared" si="0"/>
        <v>116000</v>
      </c>
      <c r="G27" s="3"/>
      <c r="H27" s="9"/>
    </row>
    <row r="28" spans="1:11">
      <c r="A28" s="8">
        <v>45031</v>
      </c>
      <c r="B28" s="9">
        <v>-13000</v>
      </c>
      <c r="C28" s="3" t="s">
        <v>431</v>
      </c>
      <c r="D28" s="10">
        <f t="shared" si="0"/>
        <v>103000</v>
      </c>
      <c r="G28" s="3"/>
      <c r="H28" s="9"/>
    </row>
    <row r="29" spans="1:11">
      <c r="A29" s="8">
        <v>45031</v>
      </c>
      <c r="B29" s="9">
        <v>-2400</v>
      </c>
      <c r="C29" s="3" t="s">
        <v>432</v>
      </c>
      <c r="D29" s="10">
        <f t="shared" si="0"/>
        <v>100600</v>
      </c>
      <c r="G29" s="3"/>
      <c r="H29" s="9"/>
    </row>
    <row r="30" spans="1:11">
      <c r="A30" s="8">
        <v>45032</v>
      </c>
      <c r="B30" s="9">
        <v>-1700</v>
      </c>
      <c r="C30" s="3" t="s">
        <v>432</v>
      </c>
      <c r="D30" s="10">
        <f t="shared" si="0"/>
        <v>98900</v>
      </c>
      <c r="E30" s="4" t="s">
        <v>421</v>
      </c>
      <c r="G30" s="3"/>
      <c r="H30" s="9"/>
    </row>
    <row r="31" spans="1:11">
      <c r="A31" s="8">
        <v>45031</v>
      </c>
      <c r="B31" s="9">
        <v>-1100</v>
      </c>
      <c r="C31" s="3" t="s">
        <v>19</v>
      </c>
      <c r="D31" s="10">
        <f t="shared" si="0"/>
        <v>97800</v>
      </c>
      <c r="E31" s="4" t="s">
        <v>421</v>
      </c>
      <c r="F31" s="17"/>
      <c r="G31" s="3"/>
      <c r="H31" s="9"/>
    </row>
    <row r="32" spans="1:11">
      <c r="A32" s="8">
        <v>45032</v>
      </c>
      <c r="B32" s="9">
        <v>-1100</v>
      </c>
      <c r="C32" s="3" t="s">
        <v>7</v>
      </c>
      <c r="D32" s="10">
        <f t="shared" si="0"/>
        <v>96700</v>
      </c>
      <c r="E32" s="4" t="s">
        <v>428</v>
      </c>
    </row>
    <row r="33" spans="1:6">
      <c r="A33" s="8">
        <v>45031</v>
      </c>
      <c r="B33" s="9">
        <v>-2500</v>
      </c>
      <c r="C33" s="3" t="s">
        <v>15</v>
      </c>
      <c r="D33" s="10">
        <f t="shared" si="0"/>
        <v>94200</v>
      </c>
      <c r="E33" s="4" t="s">
        <v>423</v>
      </c>
    </row>
    <row r="34" spans="1:6">
      <c r="A34" s="8">
        <v>45028</v>
      </c>
      <c r="B34" s="9">
        <v>-2800</v>
      </c>
      <c r="C34" s="3" t="s">
        <v>433</v>
      </c>
      <c r="D34" s="10">
        <f t="shared" si="0"/>
        <v>91400</v>
      </c>
    </row>
    <row r="35" spans="1:6">
      <c r="A35" s="8">
        <v>45026</v>
      </c>
      <c r="B35" s="9">
        <v>-500</v>
      </c>
      <c r="C35" s="3" t="s">
        <v>220</v>
      </c>
      <c r="D35" s="10">
        <f t="shared" si="0"/>
        <v>90900</v>
      </c>
      <c r="E35" s="4" t="s">
        <v>426</v>
      </c>
    </row>
    <row r="36" spans="1:6">
      <c r="A36" s="8">
        <v>45026</v>
      </c>
      <c r="B36" s="9">
        <v>3281</v>
      </c>
      <c r="C36" s="3" t="s">
        <v>434</v>
      </c>
      <c r="D36" s="10">
        <f t="shared" si="0"/>
        <v>94181</v>
      </c>
    </row>
    <row r="37" spans="1:6">
      <c r="A37" s="8">
        <v>45035</v>
      </c>
      <c r="B37" s="9">
        <v>-2500</v>
      </c>
      <c r="C37" s="3" t="s">
        <v>6</v>
      </c>
      <c r="D37" s="10">
        <f t="shared" si="0"/>
        <v>91681</v>
      </c>
    </row>
    <row r="38" spans="1:6">
      <c r="A38" s="8">
        <v>45031</v>
      </c>
      <c r="B38" s="9">
        <v>-16000</v>
      </c>
      <c r="C38" s="3" t="s">
        <v>47</v>
      </c>
      <c r="D38" s="10">
        <f t="shared" si="0"/>
        <v>75681</v>
      </c>
    </row>
    <row r="39" spans="1:6">
      <c r="A39" s="8">
        <v>45036</v>
      </c>
      <c r="B39" s="9">
        <v>-6000</v>
      </c>
      <c r="C39" s="3" t="s">
        <v>435</v>
      </c>
      <c r="D39" s="10">
        <f t="shared" si="0"/>
        <v>69681</v>
      </c>
    </row>
    <row r="40" spans="1:6">
      <c r="A40" s="8">
        <v>45039</v>
      </c>
      <c r="B40" s="9">
        <v>-21000</v>
      </c>
      <c r="C40" s="3" t="s">
        <v>436</v>
      </c>
      <c r="D40" s="10">
        <f t="shared" si="0"/>
        <v>48681</v>
      </c>
    </row>
    <row r="41" spans="1:6">
      <c r="A41" s="8">
        <v>45039</v>
      </c>
      <c r="B41" s="9">
        <v>-4000</v>
      </c>
      <c r="C41" s="3" t="s">
        <v>6</v>
      </c>
      <c r="D41" s="10">
        <f t="shared" si="0"/>
        <v>44681</v>
      </c>
    </row>
    <row r="42" spans="1:6">
      <c r="A42" s="8">
        <v>45039</v>
      </c>
      <c r="B42" s="9">
        <v>-1000</v>
      </c>
      <c r="C42" s="3" t="s">
        <v>204</v>
      </c>
      <c r="D42" s="10">
        <f t="shared" ref="D42:D73" si="1">+D41+B42</f>
        <v>43681</v>
      </c>
      <c r="E42" s="4" t="s">
        <v>426</v>
      </c>
    </row>
    <row r="43" spans="1:6">
      <c r="A43" s="8">
        <v>45037</v>
      </c>
      <c r="B43" s="9">
        <v>-10700</v>
      </c>
      <c r="C43" s="3" t="s">
        <v>437</v>
      </c>
      <c r="D43" s="10">
        <f t="shared" si="1"/>
        <v>32981</v>
      </c>
    </row>
    <row r="44" spans="1:6">
      <c r="A44" s="8">
        <v>45043</v>
      </c>
      <c r="B44" s="9">
        <v>-1200</v>
      </c>
      <c r="C44" s="3" t="s">
        <v>366</v>
      </c>
      <c r="D44" s="10">
        <f t="shared" si="1"/>
        <v>31781</v>
      </c>
    </row>
    <row r="45" spans="1:6">
      <c r="A45" s="8">
        <v>45041</v>
      </c>
      <c r="B45" s="9">
        <v>-2700</v>
      </c>
      <c r="C45" s="3" t="s">
        <v>6</v>
      </c>
      <c r="D45" s="10">
        <f t="shared" si="1"/>
        <v>29081</v>
      </c>
      <c r="F45" s="17">
        <f>SUM(B10:B42)</f>
        <v>-106319</v>
      </c>
    </row>
    <row r="46" spans="1:6">
      <c r="A46" s="8">
        <v>45043</v>
      </c>
      <c r="B46" s="9">
        <v>-1000</v>
      </c>
      <c r="C46" s="3" t="s">
        <v>15</v>
      </c>
      <c r="D46" s="10">
        <f t="shared" si="1"/>
        <v>28081</v>
      </c>
      <c r="E46" s="4" t="s">
        <v>426</v>
      </c>
    </row>
    <row r="47" spans="1:6">
      <c r="A47" s="8">
        <v>45042</v>
      </c>
      <c r="B47" s="9">
        <v>-1000</v>
      </c>
      <c r="C47" s="3" t="s">
        <v>438</v>
      </c>
      <c r="D47" s="10">
        <f t="shared" si="1"/>
        <v>27081</v>
      </c>
    </row>
    <row r="48" spans="1:6">
      <c r="A48" s="8">
        <v>45036</v>
      </c>
      <c r="B48" s="9">
        <v>-700</v>
      </c>
      <c r="C48" s="3" t="s">
        <v>7</v>
      </c>
      <c r="D48" s="10">
        <f t="shared" si="1"/>
        <v>26381</v>
      </c>
    </row>
    <row r="49" spans="1:5">
      <c r="A49" s="8">
        <v>45036</v>
      </c>
      <c r="B49" s="9">
        <v>-1000</v>
      </c>
      <c r="C49" s="3" t="s">
        <v>19</v>
      </c>
      <c r="D49" s="10">
        <f t="shared" si="1"/>
        <v>25381</v>
      </c>
      <c r="E49" s="4" t="s">
        <v>423</v>
      </c>
    </row>
    <row r="50" spans="1:5">
      <c r="A50" s="8">
        <v>45032</v>
      </c>
      <c r="B50" s="9">
        <v>-1200</v>
      </c>
      <c r="C50" s="3" t="s">
        <v>19</v>
      </c>
      <c r="D50" s="10">
        <f t="shared" si="1"/>
        <v>24181</v>
      </c>
      <c r="E50" s="4" t="s">
        <v>428</v>
      </c>
    </row>
    <row r="51" spans="1:5">
      <c r="A51" s="8">
        <v>45043</v>
      </c>
      <c r="B51" s="9">
        <v>-6000</v>
      </c>
      <c r="C51" s="3" t="s">
        <v>431</v>
      </c>
      <c r="D51" s="10">
        <f t="shared" si="1"/>
        <v>18181</v>
      </c>
      <c r="E51" s="4" t="s">
        <v>428</v>
      </c>
    </row>
    <row r="52" spans="1:5">
      <c r="A52" s="8">
        <v>45041</v>
      </c>
      <c r="B52" s="9">
        <v>-1000</v>
      </c>
      <c r="C52" s="3" t="s">
        <v>206</v>
      </c>
      <c r="D52" s="10">
        <f t="shared" si="1"/>
        <v>17181</v>
      </c>
    </row>
    <row r="53" spans="1:5">
      <c r="A53" s="8">
        <v>45043</v>
      </c>
      <c r="B53" s="9">
        <v>-1500</v>
      </c>
      <c r="C53" s="3" t="s">
        <v>439</v>
      </c>
      <c r="D53" s="10">
        <f t="shared" si="1"/>
        <v>15681</v>
      </c>
    </row>
    <row r="54" spans="1:5">
      <c r="A54" s="8">
        <v>45041</v>
      </c>
      <c r="B54" s="9">
        <v>-1700</v>
      </c>
      <c r="C54" s="3" t="s">
        <v>440</v>
      </c>
      <c r="D54" s="10">
        <f t="shared" si="1"/>
        <v>13981</v>
      </c>
    </row>
    <row r="55" spans="1:5">
      <c r="A55" s="8">
        <v>45042</v>
      </c>
      <c r="B55" s="9">
        <v>-2000</v>
      </c>
      <c r="C55" s="3" t="s">
        <v>7</v>
      </c>
      <c r="D55" s="10">
        <f t="shared" si="1"/>
        <v>11981</v>
      </c>
    </row>
    <row r="56" spans="1:5">
      <c r="A56" s="8">
        <v>45046</v>
      </c>
      <c r="B56" s="9">
        <v>-2300</v>
      </c>
      <c r="C56" s="3" t="s">
        <v>441</v>
      </c>
      <c r="D56" s="10">
        <f t="shared" si="1"/>
        <v>9681</v>
      </c>
    </row>
    <row r="57" spans="1:5">
      <c r="A57" s="8">
        <v>45046</v>
      </c>
      <c r="B57" s="9">
        <v>-500</v>
      </c>
      <c r="C57" s="3" t="s">
        <v>9</v>
      </c>
      <c r="D57" s="10">
        <f t="shared" si="1"/>
        <v>9181</v>
      </c>
    </row>
    <row r="58" spans="1:5">
      <c r="A58" s="8">
        <v>45046</v>
      </c>
      <c r="B58" s="9">
        <v>-700</v>
      </c>
      <c r="C58" s="3" t="s">
        <v>442</v>
      </c>
      <c r="D58" s="10">
        <f t="shared" si="1"/>
        <v>8481</v>
      </c>
    </row>
    <row r="59" spans="1:5">
      <c r="A59" s="8">
        <v>45044</v>
      </c>
      <c r="B59" s="9">
        <v>-2300</v>
      </c>
      <c r="C59" s="3" t="s">
        <v>432</v>
      </c>
      <c r="D59" s="10">
        <f t="shared" si="1"/>
        <v>6181</v>
      </c>
      <c r="E59" s="4" t="s">
        <v>421</v>
      </c>
    </row>
    <row r="60" spans="1:5">
      <c r="A60" s="8">
        <v>45046</v>
      </c>
      <c r="B60" s="9">
        <v>-1600</v>
      </c>
      <c r="C60" s="3" t="s">
        <v>431</v>
      </c>
      <c r="D60" s="10">
        <f t="shared" si="1"/>
        <v>4581</v>
      </c>
    </row>
    <row r="61" spans="1:5">
      <c r="A61" s="8">
        <v>45047</v>
      </c>
      <c r="B61" s="9">
        <v>10000</v>
      </c>
      <c r="C61" s="3" t="s">
        <v>443</v>
      </c>
      <c r="D61" s="10">
        <f t="shared" si="1"/>
        <v>14581</v>
      </c>
    </row>
    <row r="62" spans="1:5">
      <c r="A62" s="8">
        <v>45048</v>
      </c>
      <c r="B62" s="9">
        <f>1150*54.2</f>
        <v>62330</v>
      </c>
      <c r="C62" s="3" t="s">
        <v>444</v>
      </c>
      <c r="D62" s="10">
        <f t="shared" si="1"/>
        <v>76911</v>
      </c>
    </row>
    <row r="63" spans="1:5">
      <c r="A63" s="8">
        <v>45048</v>
      </c>
      <c r="B63" s="9">
        <v>-4000</v>
      </c>
      <c r="C63" s="3" t="s">
        <v>445</v>
      </c>
      <c r="D63" s="10">
        <f t="shared" si="1"/>
        <v>72911</v>
      </c>
      <c r="E63" s="4" t="s">
        <v>428</v>
      </c>
    </row>
    <row r="64" spans="1:5">
      <c r="A64" s="8">
        <v>45048</v>
      </c>
      <c r="B64" s="9">
        <v>-1000</v>
      </c>
      <c r="C64" s="3" t="s">
        <v>7</v>
      </c>
      <c r="D64" s="10">
        <f t="shared" si="1"/>
        <v>71911</v>
      </c>
      <c r="E64" s="4" t="s">
        <v>423</v>
      </c>
    </row>
    <row r="65" spans="1:5">
      <c r="A65" s="8">
        <v>45048</v>
      </c>
      <c r="B65" s="9">
        <v>-1700</v>
      </c>
      <c r="C65" s="3" t="s">
        <v>432</v>
      </c>
      <c r="D65" s="10">
        <f t="shared" si="1"/>
        <v>70211</v>
      </c>
      <c r="E65" s="4" t="s">
        <v>421</v>
      </c>
    </row>
    <row r="66" spans="1:5">
      <c r="A66" s="8">
        <v>45048</v>
      </c>
      <c r="B66" s="9">
        <v>-2800</v>
      </c>
      <c r="C66" s="3" t="s">
        <v>6</v>
      </c>
      <c r="D66" s="10">
        <f t="shared" si="1"/>
        <v>67411</v>
      </c>
      <c r="E66" s="4" t="s">
        <v>426</v>
      </c>
    </row>
    <row r="67" spans="1:5">
      <c r="A67" s="8">
        <v>45048</v>
      </c>
      <c r="B67" s="9">
        <v>-9500</v>
      </c>
      <c r="C67" s="3" t="s">
        <v>10</v>
      </c>
      <c r="D67" s="10">
        <f t="shared" si="1"/>
        <v>57911</v>
      </c>
      <c r="E67" s="4" t="s">
        <v>446</v>
      </c>
    </row>
    <row r="68" spans="1:5">
      <c r="A68" s="8">
        <v>45048</v>
      </c>
      <c r="B68" s="9">
        <v>-600</v>
      </c>
      <c r="C68" s="3" t="s">
        <v>7</v>
      </c>
      <c r="D68" s="10">
        <f t="shared" si="1"/>
        <v>57311</v>
      </c>
      <c r="E68" s="4" t="s">
        <v>423</v>
      </c>
    </row>
    <row r="69" spans="1:5">
      <c r="A69" s="8">
        <v>45048</v>
      </c>
      <c r="B69" s="9">
        <v>-1700</v>
      </c>
      <c r="C69" s="3" t="s">
        <v>38</v>
      </c>
      <c r="D69" s="10">
        <f t="shared" si="1"/>
        <v>55611</v>
      </c>
      <c r="E69" s="4" t="s">
        <v>447</v>
      </c>
    </row>
    <row r="70" spans="1:5">
      <c r="A70" s="8">
        <v>45048</v>
      </c>
      <c r="B70" s="9">
        <v>-2700</v>
      </c>
      <c r="C70" s="3" t="s">
        <v>6</v>
      </c>
      <c r="D70" s="10">
        <f t="shared" si="1"/>
        <v>52911</v>
      </c>
      <c r="E70" s="4" t="s">
        <v>426</v>
      </c>
    </row>
    <row r="71" spans="1:5">
      <c r="A71" s="8">
        <v>45049</v>
      </c>
      <c r="B71" s="9">
        <v>-12000</v>
      </c>
      <c r="C71" s="3" t="s">
        <v>448</v>
      </c>
      <c r="D71" s="10">
        <f t="shared" si="1"/>
        <v>40911</v>
      </c>
    </row>
    <row r="72" spans="1:5">
      <c r="A72" s="8">
        <v>45049</v>
      </c>
      <c r="B72" s="9">
        <v>-4000</v>
      </c>
      <c r="C72" s="3" t="s">
        <v>449</v>
      </c>
      <c r="D72" s="10">
        <f t="shared" si="1"/>
        <v>36911</v>
      </c>
    </row>
    <row r="73" spans="1:5">
      <c r="A73" s="8">
        <v>45049</v>
      </c>
      <c r="B73" s="9">
        <v>20000</v>
      </c>
      <c r="C73" s="3" t="s">
        <v>450</v>
      </c>
      <c r="D73" s="10">
        <f t="shared" si="1"/>
        <v>56911</v>
      </c>
    </row>
    <row r="74" spans="1:5">
      <c r="A74" s="8">
        <v>45049</v>
      </c>
      <c r="B74" s="9">
        <v>-1000</v>
      </c>
      <c r="C74" s="3" t="s">
        <v>451</v>
      </c>
      <c r="D74" s="10">
        <f t="shared" ref="D74:D105" si="2">+D73+B74</f>
        <v>55911</v>
      </c>
    </row>
    <row r="75" spans="1:5">
      <c r="A75" s="8">
        <v>45050</v>
      </c>
      <c r="B75" s="9">
        <v>-3500</v>
      </c>
      <c r="C75" s="3" t="s">
        <v>452</v>
      </c>
      <c r="D75" s="10">
        <f t="shared" si="2"/>
        <v>52411</v>
      </c>
    </row>
    <row r="76" spans="1:5">
      <c r="A76" s="8">
        <v>45051</v>
      </c>
      <c r="B76" s="9">
        <v>-600</v>
      </c>
      <c r="C76" s="3" t="s">
        <v>453</v>
      </c>
      <c r="D76" s="10">
        <f t="shared" si="2"/>
        <v>51811</v>
      </c>
      <c r="E76" s="4" t="s">
        <v>428</v>
      </c>
    </row>
    <row r="77" spans="1:5">
      <c r="A77" s="8">
        <v>45051</v>
      </c>
      <c r="B77" s="9">
        <v>-6500</v>
      </c>
      <c r="C77" s="3" t="s">
        <v>223</v>
      </c>
      <c r="D77" s="10">
        <f t="shared" si="2"/>
        <v>45311</v>
      </c>
      <c r="E77" s="4" t="s">
        <v>454</v>
      </c>
    </row>
    <row r="78" spans="1:5">
      <c r="A78" s="8">
        <v>45052</v>
      </c>
      <c r="B78" s="9">
        <v>-1700</v>
      </c>
      <c r="C78" s="3" t="s">
        <v>223</v>
      </c>
      <c r="D78" s="10">
        <f t="shared" si="2"/>
        <v>43611</v>
      </c>
      <c r="E78" s="4" t="s">
        <v>454</v>
      </c>
    </row>
    <row r="79" spans="1:5">
      <c r="A79" s="8">
        <v>45052</v>
      </c>
      <c r="B79" s="9">
        <v>-3800</v>
      </c>
      <c r="C79" s="3" t="s">
        <v>7</v>
      </c>
      <c r="D79" s="10">
        <f t="shared" si="2"/>
        <v>39811</v>
      </c>
      <c r="E79" s="4" t="s">
        <v>423</v>
      </c>
    </row>
    <row r="80" spans="1:5">
      <c r="A80" s="8">
        <v>45053</v>
      </c>
      <c r="B80" s="9">
        <v>-3000</v>
      </c>
      <c r="C80" s="3" t="s">
        <v>455</v>
      </c>
      <c r="D80" s="10">
        <f t="shared" si="2"/>
        <v>36811</v>
      </c>
      <c r="E80" s="4" t="s">
        <v>447</v>
      </c>
    </row>
    <row r="81" spans="1:5">
      <c r="A81" s="8">
        <v>45053</v>
      </c>
      <c r="B81" s="9">
        <v>-10000</v>
      </c>
      <c r="C81" s="3" t="s">
        <v>456</v>
      </c>
      <c r="D81" s="10">
        <f t="shared" si="2"/>
        <v>26811</v>
      </c>
    </row>
    <row r="82" spans="1:5">
      <c r="A82" s="8">
        <v>45053</v>
      </c>
      <c r="B82" s="9">
        <v>-2400</v>
      </c>
      <c r="C82" s="3" t="s">
        <v>457</v>
      </c>
      <c r="D82" s="10">
        <f t="shared" si="2"/>
        <v>24411</v>
      </c>
    </row>
    <row r="83" spans="1:5">
      <c r="A83" s="8">
        <v>45054</v>
      </c>
      <c r="B83" s="9">
        <v>-3000</v>
      </c>
      <c r="C83" s="3" t="s">
        <v>431</v>
      </c>
      <c r="D83" s="10">
        <f t="shared" si="2"/>
        <v>21411</v>
      </c>
      <c r="E83" s="4" t="s">
        <v>446</v>
      </c>
    </row>
    <row r="84" spans="1:5">
      <c r="A84" s="8">
        <v>45054</v>
      </c>
      <c r="B84" s="9">
        <v>-1500</v>
      </c>
      <c r="C84" s="3" t="s">
        <v>458</v>
      </c>
      <c r="D84" s="10">
        <f t="shared" si="2"/>
        <v>19911</v>
      </c>
      <c r="E84" s="4" t="s">
        <v>459</v>
      </c>
    </row>
    <row r="85" spans="1:5">
      <c r="A85" s="8">
        <v>45055</v>
      </c>
      <c r="B85" s="9">
        <v>-700</v>
      </c>
      <c r="C85" s="3" t="s">
        <v>25</v>
      </c>
      <c r="D85" s="10">
        <f t="shared" si="2"/>
        <v>19211</v>
      </c>
      <c r="E85" s="4" t="s">
        <v>460</v>
      </c>
    </row>
    <row r="86" spans="1:5">
      <c r="A86" s="8">
        <v>45056</v>
      </c>
      <c r="B86" s="9">
        <v>-900</v>
      </c>
      <c r="C86" s="3" t="s">
        <v>7</v>
      </c>
      <c r="D86" s="10">
        <f t="shared" si="2"/>
        <v>18311</v>
      </c>
      <c r="E86" s="4" t="s">
        <v>423</v>
      </c>
    </row>
    <row r="87" spans="1:5">
      <c r="A87" s="8">
        <v>45056</v>
      </c>
      <c r="B87" s="9">
        <f>650*54</f>
        <v>35100</v>
      </c>
      <c r="C87" s="3" t="s">
        <v>444</v>
      </c>
      <c r="D87" s="10">
        <f t="shared" si="2"/>
        <v>53411</v>
      </c>
      <c r="E87" s="4" t="s">
        <v>426</v>
      </c>
    </row>
    <row r="88" spans="1:5">
      <c r="A88" s="8">
        <v>45057</v>
      </c>
      <c r="B88" s="9">
        <v>-2100</v>
      </c>
      <c r="C88" s="3" t="s">
        <v>223</v>
      </c>
      <c r="D88" s="10">
        <f t="shared" si="2"/>
        <v>51311</v>
      </c>
      <c r="E88" s="4" t="s">
        <v>454</v>
      </c>
    </row>
    <row r="89" spans="1:5">
      <c r="A89" s="8">
        <v>45057</v>
      </c>
      <c r="B89" s="9">
        <v>-400</v>
      </c>
      <c r="C89" s="3" t="s">
        <v>19</v>
      </c>
      <c r="D89" s="10">
        <f t="shared" si="2"/>
        <v>50911</v>
      </c>
      <c r="E89" s="4" t="s">
        <v>461</v>
      </c>
    </row>
    <row r="90" spans="1:5">
      <c r="A90" s="8">
        <v>45058</v>
      </c>
      <c r="B90" s="9">
        <v>-600</v>
      </c>
      <c r="C90" s="3" t="s">
        <v>346</v>
      </c>
      <c r="D90" s="10">
        <f t="shared" si="2"/>
        <v>50311</v>
      </c>
      <c r="E90" s="4" t="s">
        <v>446</v>
      </c>
    </row>
    <row r="91" spans="1:5">
      <c r="A91" s="8">
        <v>45058</v>
      </c>
      <c r="B91" s="9">
        <v>-900</v>
      </c>
      <c r="C91" s="3" t="s">
        <v>462</v>
      </c>
      <c r="D91" s="10">
        <f t="shared" si="2"/>
        <v>49411</v>
      </c>
      <c r="E91" s="4" t="s">
        <v>423</v>
      </c>
    </row>
    <row r="92" spans="1:5">
      <c r="A92" s="8">
        <v>45058</v>
      </c>
      <c r="B92" s="9">
        <v>-800</v>
      </c>
      <c r="C92" s="3" t="s">
        <v>31</v>
      </c>
      <c r="D92" s="10">
        <f t="shared" si="2"/>
        <v>48611</v>
      </c>
      <c r="E92" s="4" t="s">
        <v>459</v>
      </c>
    </row>
    <row r="93" spans="1:5">
      <c r="A93" s="8">
        <v>45058</v>
      </c>
      <c r="B93" s="9">
        <v>-2800</v>
      </c>
      <c r="C93" s="3" t="s">
        <v>6</v>
      </c>
      <c r="D93" s="10">
        <f t="shared" si="2"/>
        <v>45811</v>
      </c>
      <c r="E93" s="4" t="s">
        <v>426</v>
      </c>
    </row>
    <row r="94" spans="1:5">
      <c r="A94" s="8">
        <v>45059</v>
      </c>
      <c r="B94" s="9">
        <v>-1800</v>
      </c>
      <c r="C94" s="3" t="s">
        <v>463</v>
      </c>
      <c r="D94" s="10">
        <f t="shared" si="2"/>
        <v>44011</v>
      </c>
      <c r="E94" s="4" t="s">
        <v>461</v>
      </c>
    </row>
    <row r="95" spans="1:5">
      <c r="A95" s="8">
        <v>45059</v>
      </c>
      <c r="B95" s="9">
        <v>-1500</v>
      </c>
      <c r="C95" s="3" t="s">
        <v>7</v>
      </c>
      <c r="D95" s="10">
        <f t="shared" si="2"/>
        <v>42511</v>
      </c>
      <c r="E95" s="4" t="s">
        <v>423</v>
      </c>
    </row>
    <row r="96" spans="1:5">
      <c r="A96" s="8">
        <v>45059</v>
      </c>
      <c r="B96" s="9">
        <v>-1500</v>
      </c>
      <c r="C96" s="3" t="s">
        <v>464</v>
      </c>
      <c r="D96" s="10">
        <f t="shared" si="2"/>
        <v>41011</v>
      </c>
      <c r="E96" s="4" t="s">
        <v>459</v>
      </c>
    </row>
    <row r="97" spans="1:5">
      <c r="A97" s="8">
        <v>45061</v>
      </c>
      <c r="B97" s="9">
        <f>-256*55</f>
        <v>-14080</v>
      </c>
      <c r="C97" s="3" t="s">
        <v>465</v>
      </c>
      <c r="D97" s="10">
        <f t="shared" si="2"/>
        <v>26931</v>
      </c>
      <c r="E97" s="4" t="s">
        <v>421</v>
      </c>
    </row>
    <row r="98" spans="1:5">
      <c r="A98" s="8">
        <v>45061</v>
      </c>
      <c r="B98" s="9">
        <v>14080</v>
      </c>
      <c r="C98" s="3" t="s">
        <v>466</v>
      </c>
      <c r="D98" s="10">
        <f t="shared" si="2"/>
        <v>41011</v>
      </c>
    </row>
    <row r="99" spans="1:5">
      <c r="A99" s="8">
        <v>45062</v>
      </c>
      <c r="B99" s="9">
        <v>-1040</v>
      </c>
      <c r="C99" s="3" t="s">
        <v>467</v>
      </c>
      <c r="D99" s="10">
        <f t="shared" si="2"/>
        <v>39971</v>
      </c>
      <c r="E99" s="4" t="s">
        <v>446</v>
      </c>
    </row>
    <row r="100" spans="1:5">
      <c r="A100" s="8">
        <v>45062</v>
      </c>
      <c r="B100" s="9">
        <v>-4500</v>
      </c>
      <c r="C100" s="3" t="s">
        <v>468</v>
      </c>
      <c r="D100" s="10">
        <f t="shared" si="2"/>
        <v>35471</v>
      </c>
      <c r="E100" s="4" t="s">
        <v>447</v>
      </c>
    </row>
    <row r="101" spans="1:5">
      <c r="A101" s="8">
        <v>45062</v>
      </c>
      <c r="B101" s="9">
        <v>-650</v>
      </c>
      <c r="C101" s="3" t="s">
        <v>206</v>
      </c>
      <c r="D101" s="10">
        <f t="shared" si="2"/>
        <v>34821</v>
      </c>
      <c r="E101" s="4" t="s">
        <v>454</v>
      </c>
    </row>
    <row r="102" spans="1:5">
      <c r="A102" s="8">
        <v>45063</v>
      </c>
      <c r="B102" s="9">
        <v>2000</v>
      </c>
      <c r="C102" s="3" t="s">
        <v>469</v>
      </c>
      <c r="D102" s="10">
        <f t="shared" si="2"/>
        <v>36821</v>
      </c>
    </row>
    <row r="103" spans="1:5">
      <c r="A103" s="8">
        <v>45063</v>
      </c>
      <c r="B103" s="9">
        <v>-1313</v>
      </c>
      <c r="C103" s="3" t="s">
        <v>190</v>
      </c>
      <c r="D103" s="10">
        <f t="shared" si="2"/>
        <v>35508</v>
      </c>
      <c r="E103" s="4" t="s">
        <v>447</v>
      </c>
    </row>
    <row r="104" spans="1:5">
      <c r="A104" s="8">
        <v>45064</v>
      </c>
      <c r="B104" s="9">
        <v>10000</v>
      </c>
      <c r="C104" s="3" t="s">
        <v>450</v>
      </c>
      <c r="D104" s="10">
        <f t="shared" si="2"/>
        <v>45508</v>
      </c>
    </row>
    <row r="105" spans="1:5">
      <c r="A105" s="8">
        <v>45065</v>
      </c>
      <c r="B105" s="9">
        <f>-370*54</f>
        <v>-19980</v>
      </c>
      <c r="C105" s="3" t="s">
        <v>470</v>
      </c>
      <c r="D105" s="10">
        <f t="shared" si="2"/>
        <v>25528</v>
      </c>
      <c r="E105" s="4" t="s">
        <v>421</v>
      </c>
    </row>
    <row r="106" spans="1:5">
      <c r="A106" s="8">
        <v>45065</v>
      </c>
      <c r="B106" s="9">
        <v>19980</v>
      </c>
      <c r="C106" s="3" t="s">
        <v>466</v>
      </c>
      <c r="D106" s="10">
        <f t="shared" ref="D106:D127" si="3">+D105+B106</f>
        <v>45508</v>
      </c>
    </row>
    <row r="107" spans="1:5">
      <c r="A107" s="8">
        <v>45066</v>
      </c>
      <c r="B107" s="9">
        <v>-1000</v>
      </c>
      <c r="C107" s="3" t="s">
        <v>31</v>
      </c>
      <c r="D107" s="10">
        <f t="shared" si="3"/>
        <v>44508</v>
      </c>
      <c r="E107" s="4" t="s">
        <v>471</v>
      </c>
    </row>
    <row r="108" spans="1:5">
      <c r="A108" s="8">
        <v>45066</v>
      </c>
      <c r="B108" s="9">
        <v>-5000</v>
      </c>
      <c r="C108" s="3" t="s">
        <v>7</v>
      </c>
      <c r="D108" s="10">
        <f t="shared" si="3"/>
        <v>39508</v>
      </c>
      <c r="E108" s="4" t="s">
        <v>423</v>
      </c>
    </row>
    <row r="109" spans="1:5">
      <c r="A109" s="8">
        <v>45066</v>
      </c>
      <c r="B109" s="9">
        <f>-200*55</f>
        <v>-11000</v>
      </c>
      <c r="C109" s="3" t="s">
        <v>472</v>
      </c>
      <c r="D109" s="10">
        <f t="shared" si="3"/>
        <v>28508</v>
      </c>
      <c r="E109" s="4" t="s">
        <v>446</v>
      </c>
    </row>
    <row r="110" spans="1:5">
      <c r="A110" s="8">
        <v>45066</v>
      </c>
      <c r="B110" s="9">
        <v>11000</v>
      </c>
      <c r="C110" s="3" t="s">
        <v>473</v>
      </c>
      <c r="D110" s="10">
        <f t="shared" si="3"/>
        <v>39508</v>
      </c>
    </row>
    <row r="111" spans="1:5">
      <c r="A111" s="8">
        <v>45071</v>
      </c>
      <c r="B111" s="9">
        <v>-2800</v>
      </c>
      <c r="C111" s="3" t="s">
        <v>6</v>
      </c>
      <c r="D111" s="10">
        <f t="shared" si="3"/>
        <v>36708</v>
      </c>
      <c r="E111" s="4" t="s">
        <v>426</v>
      </c>
    </row>
    <row r="112" spans="1:5">
      <c r="A112" s="8">
        <v>45071</v>
      </c>
      <c r="B112" s="9">
        <v>-3000</v>
      </c>
      <c r="C112" s="3" t="s">
        <v>474</v>
      </c>
      <c r="D112" s="10">
        <f t="shared" si="3"/>
        <v>33708</v>
      </c>
      <c r="E112" s="4" t="s">
        <v>446</v>
      </c>
    </row>
    <row r="113" spans="1:5">
      <c r="A113" s="8">
        <v>45071</v>
      </c>
      <c r="B113" s="9">
        <v>3000</v>
      </c>
      <c r="C113" s="3" t="s">
        <v>475</v>
      </c>
      <c r="D113" s="10">
        <f t="shared" si="3"/>
        <v>36708</v>
      </c>
    </row>
    <row r="114" spans="1:5">
      <c r="A114" s="8">
        <v>45071</v>
      </c>
      <c r="B114" s="9">
        <v>-2000</v>
      </c>
      <c r="C114" s="3" t="s">
        <v>476</v>
      </c>
      <c r="D114" s="10">
        <f t="shared" si="3"/>
        <v>34708</v>
      </c>
      <c r="E114" s="4" t="s">
        <v>421</v>
      </c>
    </row>
    <row r="115" spans="1:5">
      <c r="A115" s="8">
        <v>45072</v>
      </c>
      <c r="B115" s="9">
        <v>-600</v>
      </c>
      <c r="C115" s="3" t="s">
        <v>477</v>
      </c>
      <c r="D115" s="10">
        <f t="shared" si="3"/>
        <v>34108</v>
      </c>
      <c r="E115" s="4" t="s">
        <v>446</v>
      </c>
    </row>
    <row r="116" spans="1:5">
      <c r="A116" s="8">
        <v>45072</v>
      </c>
      <c r="B116" s="9">
        <v>-1300</v>
      </c>
      <c r="C116" s="3" t="s">
        <v>478</v>
      </c>
      <c r="D116" s="10">
        <f t="shared" si="3"/>
        <v>32808</v>
      </c>
      <c r="E116" s="4" t="s">
        <v>446</v>
      </c>
    </row>
    <row r="117" spans="1:5">
      <c r="A117" s="8">
        <v>45072</v>
      </c>
      <c r="B117" s="9">
        <v>-2200</v>
      </c>
      <c r="C117" s="3" t="s">
        <v>472</v>
      </c>
      <c r="D117" s="10">
        <f t="shared" si="3"/>
        <v>30608</v>
      </c>
      <c r="E117" s="4" t="s">
        <v>446</v>
      </c>
    </row>
    <row r="118" spans="1:5">
      <c r="A118" s="8">
        <v>45072</v>
      </c>
      <c r="B118" s="9">
        <v>2200</v>
      </c>
      <c r="C118" s="3" t="s">
        <v>479</v>
      </c>
      <c r="D118" s="10">
        <f t="shared" si="3"/>
        <v>32808</v>
      </c>
    </row>
    <row r="119" spans="1:5">
      <c r="A119" s="8">
        <v>45073</v>
      </c>
      <c r="B119" s="9">
        <f>-33*54.1</f>
        <v>-1785.3</v>
      </c>
      <c r="C119" s="3" t="s">
        <v>480</v>
      </c>
      <c r="D119" s="10">
        <f t="shared" si="3"/>
        <v>31022.7</v>
      </c>
      <c r="E119" s="4" t="s">
        <v>421</v>
      </c>
    </row>
    <row r="120" spans="1:5">
      <c r="A120" s="8">
        <v>45073</v>
      </c>
      <c r="B120" s="9">
        <f>-30*54.1</f>
        <v>-1623</v>
      </c>
      <c r="C120" s="3" t="s">
        <v>480</v>
      </c>
      <c r="D120" s="10">
        <f t="shared" si="3"/>
        <v>29399.7</v>
      </c>
      <c r="E120" s="4" t="s">
        <v>421</v>
      </c>
    </row>
    <row r="121" spans="1:5">
      <c r="A121" s="8">
        <v>45074</v>
      </c>
      <c r="B121" s="9">
        <f>-27*54.1</f>
        <v>-1460.7</v>
      </c>
      <c r="C121" s="3" t="s">
        <v>6</v>
      </c>
      <c r="D121" s="10">
        <f t="shared" si="3"/>
        <v>27939</v>
      </c>
      <c r="E121" s="4" t="s">
        <v>426</v>
      </c>
    </row>
    <row r="122" spans="1:5">
      <c r="A122" s="8">
        <v>45074</v>
      </c>
      <c r="B122" s="9">
        <v>4800</v>
      </c>
      <c r="C122" s="3" t="s">
        <v>481</v>
      </c>
      <c r="D122" s="10">
        <f t="shared" si="3"/>
        <v>32739</v>
      </c>
    </row>
    <row r="123" spans="1:5">
      <c r="A123" s="8">
        <v>45074</v>
      </c>
      <c r="B123" s="9">
        <f>-175*54.1</f>
        <v>-9467.5</v>
      </c>
      <c r="C123" s="3" t="s">
        <v>482</v>
      </c>
      <c r="D123" s="10">
        <f t="shared" si="3"/>
        <v>23271.5</v>
      </c>
      <c r="E123" s="4" t="s">
        <v>421</v>
      </c>
    </row>
    <row r="124" spans="1:5">
      <c r="A124" s="8">
        <v>45074</v>
      </c>
      <c r="B124" s="9">
        <v>4300</v>
      </c>
      <c r="C124" s="3" t="s">
        <v>481</v>
      </c>
      <c r="D124" s="10">
        <f t="shared" si="3"/>
        <v>27571.5</v>
      </c>
    </row>
    <row r="125" spans="1:5">
      <c r="A125" s="8">
        <v>45074</v>
      </c>
      <c r="B125" s="9">
        <f>-30*55</f>
        <v>-1650</v>
      </c>
      <c r="C125" s="3" t="s">
        <v>483</v>
      </c>
      <c r="D125" s="10">
        <f t="shared" si="3"/>
        <v>25921.5</v>
      </c>
      <c r="E125" s="4" t="s">
        <v>446</v>
      </c>
    </row>
    <row r="126" spans="1:5">
      <c r="A126" s="8">
        <v>45076</v>
      </c>
      <c r="B126" s="9">
        <v>-600</v>
      </c>
      <c r="C126" s="3" t="s">
        <v>484</v>
      </c>
      <c r="D126" s="10">
        <f t="shared" si="3"/>
        <v>25321.5</v>
      </c>
      <c r="E126" s="4" t="s">
        <v>421</v>
      </c>
    </row>
    <row r="127" spans="1:5">
      <c r="A127" s="8"/>
      <c r="B127" s="9"/>
      <c r="C127" s="3"/>
      <c r="D127" s="10">
        <f t="shared" si="3"/>
        <v>25321.5</v>
      </c>
      <c r="E127" s="17">
        <f>SUM(B63:B140)</f>
        <v>-51589.5</v>
      </c>
    </row>
    <row r="128" spans="1:5">
      <c r="A128" s="8"/>
      <c r="B128" s="9"/>
      <c r="C128" s="3"/>
      <c r="D128" s="10"/>
    </row>
    <row r="129" spans="1:4">
      <c r="A129" s="8"/>
      <c r="B129" s="9"/>
      <c r="C129" s="3"/>
      <c r="D129" s="3"/>
    </row>
    <row r="130" spans="1:4">
      <c r="A130" s="3"/>
      <c r="B130" s="9"/>
      <c r="C130" s="3"/>
      <c r="D130" s="3"/>
    </row>
    <row r="131" spans="1:4">
      <c r="A131" s="3"/>
      <c r="B131" s="9"/>
      <c r="C131" s="3"/>
      <c r="D131" s="3"/>
    </row>
    <row r="132" spans="1:4">
      <c r="A132" s="3"/>
      <c r="B132" s="9"/>
      <c r="C132" s="3"/>
      <c r="D132" s="3"/>
    </row>
    <row r="133" spans="1:4">
      <c r="A133" s="3"/>
      <c r="B133" s="9"/>
      <c r="C133" s="3"/>
      <c r="D133" s="3"/>
    </row>
    <row r="134" spans="1:4">
      <c r="A134" s="3"/>
      <c r="B134" s="9"/>
      <c r="C134" s="3"/>
      <c r="D134" s="3"/>
    </row>
    <row r="135" spans="1:4">
      <c r="A135" s="3"/>
      <c r="B135" s="9"/>
      <c r="C135" s="3"/>
      <c r="D135" s="3"/>
    </row>
    <row r="136" spans="1:4">
      <c r="A136" s="3"/>
      <c r="B136" s="9"/>
      <c r="C136" s="3"/>
      <c r="D136" s="3"/>
    </row>
    <row r="137" spans="1:4">
      <c r="A137" s="3"/>
      <c r="B137" s="9"/>
      <c r="C137" s="3"/>
      <c r="D137" s="3"/>
    </row>
    <row r="138" spans="1:4">
      <c r="A138" s="3"/>
      <c r="B138" s="9"/>
      <c r="C138" s="3"/>
      <c r="D138" s="3"/>
    </row>
    <row r="139" spans="1:4">
      <c r="A139" s="3"/>
      <c r="B139" s="9"/>
      <c r="C139" s="3"/>
      <c r="D139" s="3"/>
    </row>
    <row r="140" spans="1:4">
      <c r="A140" s="3"/>
      <c r="B140" s="9"/>
      <c r="C140" s="3"/>
      <c r="D140" s="3"/>
    </row>
    <row r="141" spans="1:4">
      <c r="A141" s="3"/>
      <c r="B141" s="9"/>
      <c r="C141" s="3"/>
      <c r="D141" s="3"/>
    </row>
    <row r="142" spans="1:4">
      <c r="A142" s="3"/>
      <c r="B142" s="9"/>
      <c r="C142" s="3"/>
      <c r="D142" s="3"/>
    </row>
    <row r="143" spans="1:4">
      <c r="A143" s="3"/>
      <c r="B143" s="9"/>
      <c r="C143" s="3"/>
      <c r="D143" s="3"/>
    </row>
    <row r="144" spans="1:4">
      <c r="A144" s="3"/>
      <c r="B144" s="9"/>
      <c r="C144" s="3"/>
      <c r="D144" s="3"/>
    </row>
    <row r="145" spans="1:4">
      <c r="A145" s="3"/>
      <c r="B145" s="9"/>
      <c r="C145" s="3"/>
      <c r="D145" s="3"/>
    </row>
    <row r="146" spans="1:4">
      <c r="A146" s="3"/>
      <c r="B146" s="9"/>
      <c r="C146" s="3"/>
      <c r="D146" s="3"/>
    </row>
    <row r="147" spans="1:4">
      <c r="A147" s="3"/>
      <c r="B147" s="9"/>
      <c r="C147" s="3"/>
      <c r="D147" s="3"/>
    </row>
    <row r="148" spans="1:4">
      <c r="A148" s="3"/>
      <c r="B148" s="9"/>
      <c r="C148" s="3"/>
      <c r="D148" s="3"/>
    </row>
  </sheetData>
  <mergeCells count="3">
    <mergeCell ref="A1:D1"/>
    <mergeCell ref="G2:H2"/>
    <mergeCell ref="G25:H25"/>
  </mergeCells>
  <pageMargins left="0.7" right="0.7" top="0.75" bottom="0.75" header="0.511811023622047" footer="0.511811023622047"/>
  <pageSetup orientation="portrait" horizontalDpi="300" verticalDpi="30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3"/>
  <sheetViews>
    <sheetView topLeftCell="A46" zoomScaleNormal="100" workbookViewId="0"/>
  </sheetViews>
  <sheetFormatPr baseColWidth="10" defaultColWidth="8.7265625" defaultRowHeight="14.5"/>
  <cols>
    <col min="1" max="1" width="7.54296875" customWidth="1"/>
    <col min="2" max="2" width="12.54296875" style="2" customWidth="1"/>
    <col min="3" max="3" width="25.1796875" customWidth="1"/>
    <col min="4" max="4" width="11.81640625" customWidth="1"/>
    <col min="5" max="5" width="11.453125" customWidth="1"/>
    <col min="6" max="6" width="30.453125" customWidth="1"/>
    <col min="7" max="7" width="25.81640625" style="2" customWidth="1"/>
    <col min="8" max="8" width="15.1796875" customWidth="1"/>
    <col min="9" max="9" width="11.1796875" style="2" customWidth="1"/>
    <col min="10" max="10" width="14.81640625" customWidth="1"/>
  </cols>
  <sheetData>
    <row r="1" spans="1:8" ht="15.5">
      <c r="A1" s="209" t="s">
        <v>0</v>
      </c>
      <c r="B1" s="209"/>
      <c r="C1" s="209"/>
      <c r="D1" s="3"/>
      <c r="E1" s="4"/>
      <c r="F1" s="4"/>
      <c r="G1" s="5"/>
      <c r="H1" s="5"/>
    </row>
    <row r="2" spans="1:8" ht="15.5">
      <c r="A2" s="6" t="s">
        <v>1</v>
      </c>
      <c r="B2" s="7" t="s">
        <v>2</v>
      </c>
      <c r="C2" s="6" t="s">
        <v>3</v>
      </c>
      <c r="D2" s="3"/>
      <c r="E2" s="4"/>
      <c r="F2" s="4"/>
      <c r="G2" s="210" t="s">
        <v>4</v>
      </c>
      <c r="H2" s="210"/>
    </row>
    <row r="3" spans="1:8" ht="15.5">
      <c r="A3" s="8">
        <v>45078</v>
      </c>
      <c r="B3" s="9"/>
      <c r="C3" s="3" t="s">
        <v>416</v>
      </c>
      <c r="D3" s="3"/>
      <c r="E3" s="4"/>
      <c r="F3" s="4"/>
      <c r="G3" s="9" t="s">
        <v>6</v>
      </c>
      <c r="H3" s="9">
        <v>20000</v>
      </c>
    </row>
    <row r="4" spans="1:8" ht="15.5">
      <c r="A4" s="8">
        <v>45082</v>
      </c>
      <c r="B4" s="9">
        <f>280000-4700</f>
        <v>275300</v>
      </c>
      <c r="C4" s="3" t="s">
        <v>239</v>
      </c>
      <c r="D4" s="3"/>
      <c r="E4" s="4"/>
      <c r="F4" s="4"/>
      <c r="G4" s="9" t="s">
        <v>7</v>
      </c>
      <c r="H4" s="9">
        <v>30000</v>
      </c>
    </row>
    <row r="5" spans="1:8" ht="15.5">
      <c r="A5" s="8">
        <v>45078</v>
      </c>
      <c r="B5" s="9">
        <v>1100</v>
      </c>
      <c r="C5" s="3" t="s">
        <v>241</v>
      </c>
      <c r="D5" s="3"/>
      <c r="E5" s="4"/>
      <c r="F5" s="4"/>
      <c r="G5" s="9" t="s">
        <v>9</v>
      </c>
      <c r="H5" s="9">
        <v>40000</v>
      </c>
    </row>
    <row r="6" spans="1:8" ht="15.5">
      <c r="A6" s="8">
        <v>45078</v>
      </c>
      <c r="B6" s="9">
        <v>4925</v>
      </c>
      <c r="C6" s="3" t="s">
        <v>242</v>
      </c>
      <c r="D6" s="3"/>
      <c r="E6" s="4"/>
      <c r="F6" s="4"/>
      <c r="G6" s="9" t="s">
        <v>11</v>
      </c>
      <c r="H6" s="9">
        <v>5000</v>
      </c>
    </row>
    <row r="7" spans="1:8" ht="15.5">
      <c r="A7" s="8">
        <v>45089</v>
      </c>
      <c r="B7" s="9">
        <v>-84700</v>
      </c>
      <c r="C7" s="3" t="s">
        <v>485</v>
      </c>
      <c r="D7" s="10">
        <f>SUM(B4:B7)</f>
        <v>196625</v>
      </c>
      <c r="E7" s="4"/>
      <c r="F7" s="4"/>
      <c r="G7" s="9"/>
      <c r="H7" s="9"/>
    </row>
    <row r="8" spans="1:8" ht="15.5">
      <c r="A8" s="8">
        <v>45078</v>
      </c>
      <c r="B8" s="9">
        <v>0</v>
      </c>
      <c r="C8" s="3" t="s">
        <v>415</v>
      </c>
      <c r="D8" s="3"/>
      <c r="E8" s="4"/>
      <c r="F8" s="4"/>
      <c r="G8" s="9" t="s">
        <v>13</v>
      </c>
      <c r="H8" s="9">
        <v>3000</v>
      </c>
    </row>
    <row r="9" spans="1:8" ht="15.5">
      <c r="A9" s="8">
        <v>45078</v>
      </c>
      <c r="B9" s="9">
        <v>193000</v>
      </c>
      <c r="C9" s="3" t="s">
        <v>243</v>
      </c>
      <c r="D9" s="3"/>
      <c r="E9" s="4">
        <v>105000</v>
      </c>
      <c r="F9" s="4" t="s">
        <v>104</v>
      </c>
      <c r="G9" s="9" t="s">
        <v>15</v>
      </c>
      <c r="H9" s="9">
        <v>5000</v>
      </c>
    </row>
    <row r="10" spans="1:8" ht="15.5">
      <c r="A10" s="8">
        <v>45078</v>
      </c>
      <c r="B10" s="9">
        <v>130000</v>
      </c>
      <c r="C10" s="3" t="s">
        <v>244</v>
      </c>
      <c r="D10" s="10">
        <f>+B10+B9</f>
        <v>323000</v>
      </c>
      <c r="E10" s="4">
        <v>12000</v>
      </c>
      <c r="F10" s="4" t="s">
        <v>106</v>
      </c>
      <c r="G10" s="9" t="s">
        <v>18</v>
      </c>
      <c r="H10" s="9">
        <v>1500</v>
      </c>
    </row>
    <row r="11" spans="1:8" ht="15.5">
      <c r="A11" s="13">
        <v>45078</v>
      </c>
      <c r="B11" s="12">
        <v>-2000</v>
      </c>
      <c r="C11" s="14" t="s">
        <v>436</v>
      </c>
      <c r="D11" s="22">
        <f t="shared" ref="D11:D42" si="0">+D10+B11</f>
        <v>321000</v>
      </c>
      <c r="E11" s="4">
        <v>8000</v>
      </c>
      <c r="F11" s="4" t="s">
        <v>106</v>
      </c>
      <c r="G11" s="9" t="s">
        <v>19</v>
      </c>
      <c r="H11" s="9">
        <v>10000</v>
      </c>
    </row>
    <row r="12" spans="1:8" ht="15.5">
      <c r="A12" s="13">
        <v>45081</v>
      </c>
      <c r="B12" s="12">
        <v>-2600</v>
      </c>
      <c r="C12" s="14" t="s">
        <v>486</v>
      </c>
      <c r="D12" s="22">
        <f t="shared" si="0"/>
        <v>318400</v>
      </c>
      <c r="E12" s="4">
        <v>15000</v>
      </c>
      <c r="F12" s="4" t="s">
        <v>34</v>
      </c>
      <c r="G12" s="9" t="s">
        <v>21</v>
      </c>
      <c r="H12" s="9">
        <v>1500</v>
      </c>
    </row>
    <row r="13" spans="1:8" ht="15.5">
      <c r="A13" s="13">
        <v>45080</v>
      </c>
      <c r="B13" s="12">
        <v>-2400</v>
      </c>
      <c r="C13" s="14" t="s">
        <v>366</v>
      </c>
      <c r="D13" s="22">
        <f t="shared" si="0"/>
        <v>316000</v>
      </c>
      <c r="E13" s="4"/>
      <c r="F13" s="4"/>
      <c r="G13" s="9" t="s">
        <v>23</v>
      </c>
      <c r="H13" s="9">
        <v>25000</v>
      </c>
    </row>
    <row r="14" spans="1:8" ht="15.5">
      <c r="A14" s="13">
        <v>45084</v>
      </c>
      <c r="B14" s="2">
        <v>-20000</v>
      </c>
      <c r="C14" s="16" t="s">
        <v>487</v>
      </c>
      <c r="D14" s="22">
        <f t="shared" si="0"/>
        <v>296000</v>
      </c>
      <c r="E14" s="4"/>
      <c r="F14" s="4"/>
      <c r="G14" s="9" t="s">
        <v>25</v>
      </c>
      <c r="H14" s="9">
        <v>1500</v>
      </c>
    </row>
    <row r="15" spans="1:8" ht="15.5">
      <c r="A15" s="13">
        <v>45084</v>
      </c>
      <c r="B15" s="12">
        <f>-14*54</f>
        <v>-756</v>
      </c>
      <c r="C15" s="14" t="s">
        <v>488</v>
      </c>
      <c r="D15" s="22">
        <f t="shared" si="0"/>
        <v>295244</v>
      </c>
      <c r="E15" s="4"/>
      <c r="F15" s="4"/>
      <c r="G15" s="9"/>
      <c r="H15" s="9"/>
    </row>
    <row r="16" spans="1:8" ht="15.5">
      <c r="A16" s="13">
        <v>45085</v>
      </c>
      <c r="B16" s="12">
        <v>-2000</v>
      </c>
      <c r="C16" s="14" t="s">
        <v>365</v>
      </c>
      <c r="D16" s="22">
        <f t="shared" si="0"/>
        <v>293244</v>
      </c>
      <c r="E16" s="4">
        <f>SUM(E9:E15)</f>
        <v>140000</v>
      </c>
      <c r="F16" s="4"/>
      <c r="G16" s="9"/>
      <c r="H16" s="9"/>
    </row>
    <row r="17" spans="1:8" ht="15.5">
      <c r="A17" s="13">
        <v>45085</v>
      </c>
      <c r="B17" s="12">
        <v>-2800</v>
      </c>
      <c r="C17" s="14" t="s">
        <v>6</v>
      </c>
      <c r="D17" s="22">
        <f t="shared" si="0"/>
        <v>290444</v>
      </c>
      <c r="E17" s="4"/>
      <c r="F17" s="4"/>
      <c r="G17" s="15" t="s">
        <v>27</v>
      </c>
      <c r="H17" s="15">
        <f>SUM(H3:H15)</f>
        <v>142500</v>
      </c>
    </row>
    <row r="18" spans="1:8" ht="15.5">
      <c r="A18" s="8">
        <v>45084</v>
      </c>
      <c r="B18" s="9">
        <v>-1000</v>
      </c>
      <c r="C18" s="3" t="s">
        <v>489</v>
      </c>
      <c r="D18" s="22">
        <f t="shared" si="0"/>
        <v>289444</v>
      </c>
      <c r="E18" s="4"/>
      <c r="F18" s="4"/>
      <c r="G18" s="5" t="s">
        <v>29</v>
      </c>
      <c r="H18" s="5">
        <f>+H17/54</f>
        <v>2638.8888888888887</v>
      </c>
    </row>
    <row r="19" spans="1:8" ht="15.5">
      <c r="A19" s="8">
        <v>45083</v>
      </c>
      <c r="B19" s="9">
        <v>-1000</v>
      </c>
      <c r="C19" s="3" t="s">
        <v>18</v>
      </c>
      <c r="D19" s="22">
        <f t="shared" si="0"/>
        <v>288444</v>
      </c>
      <c r="E19" s="4"/>
      <c r="F19" s="4"/>
      <c r="G19" s="5"/>
      <c r="H19" s="5"/>
    </row>
    <row r="20" spans="1:8" ht="15.5">
      <c r="A20" s="8">
        <v>45085</v>
      </c>
      <c r="B20" s="9">
        <v>3000</v>
      </c>
      <c r="C20" s="3" t="s">
        <v>490</v>
      </c>
      <c r="D20" s="22">
        <f t="shared" si="0"/>
        <v>291444</v>
      </c>
      <c r="E20" s="4"/>
      <c r="F20" s="4"/>
      <c r="G20" s="5"/>
      <c r="H20" s="5"/>
    </row>
    <row r="21" spans="1:8" ht="15.5">
      <c r="A21" s="8">
        <v>45086</v>
      </c>
      <c r="B21" s="9">
        <v>-4800</v>
      </c>
      <c r="C21" s="3" t="s">
        <v>37</v>
      </c>
      <c r="D21" s="22">
        <f t="shared" si="0"/>
        <v>286644</v>
      </c>
      <c r="E21" s="4"/>
      <c r="F21" s="4"/>
      <c r="G21" s="5" t="s">
        <v>77</v>
      </c>
      <c r="H21" s="5"/>
    </row>
    <row r="22" spans="1:8" ht="15.5">
      <c r="A22" s="8">
        <v>45086</v>
      </c>
      <c r="B22" s="9">
        <v>-1000</v>
      </c>
      <c r="C22" s="3" t="s">
        <v>432</v>
      </c>
      <c r="D22" s="22">
        <f t="shared" si="0"/>
        <v>285644</v>
      </c>
      <c r="E22" s="4"/>
      <c r="F22" s="4"/>
      <c r="G22" s="5" t="s">
        <v>78</v>
      </c>
      <c r="H22" s="5">
        <f>1100*55</f>
        <v>60500</v>
      </c>
    </row>
    <row r="23" spans="1:8" ht="15.5">
      <c r="A23" s="8">
        <v>45087</v>
      </c>
      <c r="B23" s="9">
        <v>-1200</v>
      </c>
      <c r="C23" s="3" t="s">
        <v>432</v>
      </c>
      <c r="D23" s="22">
        <f t="shared" si="0"/>
        <v>284444</v>
      </c>
      <c r="E23" s="4"/>
      <c r="F23" s="4"/>
      <c r="G23" s="5" t="s">
        <v>79</v>
      </c>
      <c r="H23" s="5">
        <v>27000</v>
      </c>
    </row>
    <row r="24" spans="1:8" ht="15.5">
      <c r="A24" s="8">
        <v>45088</v>
      </c>
      <c r="B24" s="9">
        <v>-1800</v>
      </c>
      <c r="C24" s="3" t="s">
        <v>6</v>
      </c>
      <c r="D24" s="22">
        <f t="shared" si="0"/>
        <v>282644</v>
      </c>
      <c r="E24" s="4"/>
      <c r="F24" s="4"/>
      <c r="G24" s="5"/>
      <c r="H24" s="5"/>
    </row>
    <row r="25" spans="1:8" ht="15.5">
      <c r="A25" s="8">
        <v>45089</v>
      </c>
      <c r="B25" s="9">
        <v>-4300</v>
      </c>
      <c r="C25" s="3" t="s">
        <v>37</v>
      </c>
      <c r="D25" s="22">
        <f t="shared" si="0"/>
        <v>278344</v>
      </c>
      <c r="E25" s="4"/>
      <c r="F25" s="4"/>
      <c r="G25" s="5" t="s">
        <v>27</v>
      </c>
      <c r="H25" s="17">
        <f>SUM(H22:H24)</f>
        <v>87500</v>
      </c>
    </row>
    <row r="26" spans="1:8" ht="15.5">
      <c r="A26" s="8">
        <v>45090</v>
      </c>
      <c r="B26" s="9">
        <v>-25000</v>
      </c>
      <c r="C26" s="3" t="s">
        <v>491</v>
      </c>
      <c r="D26" s="22">
        <f t="shared" si="0"/>
        <v>253344</v>
      </c>
      <c r="E26" s="4"/>
      <c r="F26" s="4"/>
      <c r="G26" s="5"/>
      <c r="H26" s="4"/>
    </row>
    <row r="27" spans="1:8" ht="15.5">
      <c r="A27" s="8">
        <v>45091</v>
      </c>
      <c r="B27" s="9">
        <v>-15800</v>
      </c>
      <c r="C27" s="3" t="s">
        <v>492</v>
      </c>
      <c r="D27" s="22">
        <f t="shared" si="0"/>
        <v>237544</v>
      </c>
      <c r="E27" s="4"/>
      <c r="F27" s="4"/>
      <c r="G27" s="5"/>
      <c r="H27" s="4"/>
    </row>
    <row r="28" spans="1:8" ht="15.5">
      <c r="A28" s="8">
        <v>45091</v>
      </c>
      <c r="B28" s="9">
        <v>-12000</v>
      </c>
      <c r="C28" s="3" t="s">
        <v>493</v>
      </c>
      <c r="D28" s="22">
        <f t="shared" si="0"/>
        <v>225544</v>
      </c>
      <c r="E28" s="4"/>
      <c r="F28" s="4"/>
      <c r="G28" s="5"/>
      <c r="H28" s="4"/>
    </row>
    <row r="29" spans="1:8" ht="15.5">
      <c r="A29" s="8">
        <v>45091</v>
      </c>
      <c r="B29" s="9">
        <v>-5500</v>
      </c>
      <c r="C29" s="3" t="s">
        <v>37</v>
      </c>
      <c r="D29" s="22">
        <f t="shared" si="0"/>
        <v>220044</v>
      </c>
      <c r="E29" s="4"/>
      <c r="F29" s="4"/>
      <c r="G29" s="5"/>
      <c r="H29" s="5"/>
    </row>
    <row r="30" spans="1:8" ht="15.5">
      <c r="A30" s="8">
        <v>45093</v>
      </c>
      <c r="B30" s="9">
        <v>-4600</v>
      </c>
      <c r="C30" s="3" t="s">
        <v>37</v>
      </c>
      <c r="D30" s="22">
        <f t="shared" si="0"/>
        <v>215444</v>
      </c>
      <c r="E30" s="4"/>
      <c r="F30" s="4"/>
      <c r="G30" s="5"/>
      <c r="H30" s="5"/>
    </row>
    <row r="31" spans="1:8" ht="15.5">
      <c r="A31" s="8">
        <v>45092</v>
      </c>
      <c r="B31" s="9">
        <v>-680</v>
      </c>
      <c r="C31" s="3" t="s">
        <v>223</v>
      </c>
      <c r="D31" s="22">
        <f t="shared" si="0"/>
        <v>214764</v>
      </c>
      <c r="E31" s="4"/>
      <c r="F31" s="4"/>
      <c r="G31" s="5"/>
      <c r="H31" s="5"/>
    </row>
    <row r="32" spans="1:8" ht="15.5">
      <c r="A32" s="8">
        <v>45093</v>
      </c>
      <c r="B32" s="9">
        <v>-900</v>
      </c>
      <c r="C32" s="3" t="s">
        <v>223</v>
      </c>
      <c r="D32" s="22">
        <f t="shared" si="0"/>
        <v>213864</v>
      </c>
      <c r="E32" s="4"/>
      <c r="F32" s="17"/>
      <c r="G32" s="5"/>
      <c r="H32" s="5"/>
    </row>
    <row r="33" spans="1:10" ht="15.5">
      <c r="A33" s="8">
        <v>45088</v>
      </c>
      <c r="B33" s="9">
        <v>-900</v>
      </c>
      <c r="C33" s="3" t="s">
        <v>250</v>
      </c>
      <c r="D33" s="22">
        <f t="shared" si="0"/>
        <v>212964</v>
      </c>
      <c r="E33" s="4"/>
      <c r="F33" s="4"/>
      <c r="G33" s="5"/>
      <c r="H33" s="5"/>
    </row>
    <row r="34" spans="1:10" ht="15.5">
      <c r="A34" s="8">
        <v>45095</v>
      </c>
      <c r="B34" s="9">
        <v>-1750</v>
      </c>
      <c r="C34" s="3" t="s">
        <v>223</v>
      </c>
      <c r="D34" s="22">
        <f t="shared" si="0"/>
        <v>211214</v>
      </c>
      <c r="E34" s="4"/>
      <c r="F34" s="4"/>
      <c r="G34" s="5"/>
      <c r="H34" s="5"/>
    </row>
    <row r="35" spans="1:10" ht="15.5">
      <c r="A35" s="8">
        <v>45096</v>
      </c>
      <c r="B35" s="9">
        <v>-150000</v>
      </c>
      <c r="C35" s="3" t="s">
        <v>494</v>
      </c>
      <c r="D35" s="22">
        <f t="shared" si="0"/>
        <v>61214</v>
      </c>
      <c r="E35" s="4"/>
      <c r="F35" s="4"/>
      <c r="G35" s="5"/>
      <c r="H35" s="5"/>
    </row>
    <row r="36" spans="1:10" ht="15.5">
      <c r="A36" s="8">
        <v>45096</v>
      </c>
      <c r="B36" s="9">
        <v>150000</v>
      </c>
      <c r="C36" s="3" t="s">
        <v>494</v>
      </c>
      <c r="D36" s="22">
        <f t="shared" si="0"/>
        <v>211214</v>
      </c>
      <c r="E36" s="4"/>
      <c r="F36" s="4"/>
      <c r="G36" s="5"/>
      <c r="H36" s="5"/>
    </row>
    <row r="37" spans="1:10" ht="15.5">
      <c r="A37" s="8">
        <v>45096</v>
      </c>
      <c r="B37" s="9">
        <v>-2000</v>
      </c>
      <c r="C37" s="3" t="s">
        <v>495</v>
      </c>
      <c r="D37" s="22">
        <f t="shared" si="0"/>
        <v>209214</v>
      </c>
      <c r="E37" s="4"/>
      <c r="F37" s="4"/>
      <c r="G37" s="5"/>
      <c r="H37" s="5"/>
    </row>
    <row r="38" spans="1:10" ht="15.5">
      <c r="A38" s="8">
        <v>45096</v>
      </c>
      <c r="B38" s="9">
        <v>-8000</v>
      </c>
      <c r="C38" s="3" t="s">
        <v>495</v>
      </c>
      <c r="D38" s="22">
        <f t="shared" si="0"/>
        <v>201214</v>
      </c>
      <c r="E38" s="4"/>
      <c r="F38" s="4"/>
      <c r="G38" s="5"/>
      <c r="H38" s="5"/>
    </row>
    <row r="39" spans="1:10" ht="15.5">
      <c r="A39" s="8">
        <v>45096</v>
      </c>
      <c r="B39" s="9">
        <v>-2700</v>
      </c>
      <c r="C39" s="3" t="s">
        <v>6</v>
      </c>
      <c r="D39" s="22">
        <f t="shared" si="0"/>
        <v>198514</v>
      </c>
      <c r="E39" s="4"/>
      <c r="F39" s="4"/>
      <c r="G39" s="5"/>
      <c r="H39" s="5"/>
      <c r="J39" s="2"/>
    </row>
    <row r="40" spans="1:10" ht="15.5">
      <c r="A40" s="8">
        <v>45099</v>
      </c>
      <c r="B40" s="9">
        <v>-2200</v>
      </c>
      <c r="C40" s="3" t="s">
        <v>37</v>
      </c>
      <c r="D40" s="22">
        <f t="shared" si="0"/>
        <v>196314</v>
      </c>
      <c r="E40" s="4"/>
      <c r="F40" s="4"/>
      <c r="G40" s="5"/>
      <c r="H40" s="5"/>
    </row>
    <row r="41" spans="1:10" ht="15.5">
      <c r="A41" s="8">
        <v>45098</v>
      </c>
      <c r="B41" s="9">
        <v>-4000</v>
      </c>
      <c r="C41" s="3" t="s">
        <v>496</v>
      </c>
      <c r="D41" s="22">
        <f t="shared" si="0"/>
        <v>192314</v>
      </c>
      <c r="E41" s="4"/>
      <c r="F41" s="4"/>
      <c r="G41" s="5"/>
      <c r="H41" s="5"/>
    </row>
    <row r="42" spans="1:10" ht="15.5">
      <c r="A42" s="8">
        <v>45099</v>
      </c>
      <c r="B42" s="9">
        <v>-2100</v>
      </c>
      <c r="C42" s="3" t="s">
        <v>497</v>
      </c>
      <c r="D42" s="22">
        <f t="shared" si="0"/>
        <v>190214</v>
      </c>
      <c r="E42" s="4"/>
      <c r="F42" s="4"/>
      <c r="G42" s="5"/>
      <c r="H42" s="5"/>
      <c r="J42" s="11"/>
    </row>
    <row r="43" spans="1:10" ht="15.5">
      <c r="A43" s="8">
        <v>45098</v>
      </c>
      <c r="B43" s="9">
        <v>-750</v>
      </c>
      <c r="C43" s="3" t="s">
        <v>498</v>
      </c>
      <c r="D43" s="22">
        <f t="shared" ref="D43:D64" si="1">+D42+B43</f>
        <v>189464</v>
      </c>
      <c r="E43" s="4"/>
      <c r="F43" s="4"/>
      <c r="G43" s="5"/>
      <c r="H43" s="5"/>
    </row>
    <row r="44" spans="1:10" ht="15.5">
      <c r="A44" s="8">
        <v>45101</v>
      </c>
      <c r="B44" s="9">
        <v>-1000</v>
      </c>
      <c r="C44" s="3" t="s">
        <v>21</v>
      </c>
      <c r="D44" s="22">
        <f t="shared" si="1"/>
        <v>188464</v>
      </c>
      <c r="E44" s="4"/>
      <c r="F44" s="4"/>
      <c r="G44" s="5"/>
      <c r="H44" s="5"/>
    </row>
    <row r="45" spans="1:10" ht="15.5">
      <c r="A45" s="8">
        <v>45101</v>
      </c>
      <c r="B45" s="9">
        <v>-1000</v>
      </c>
      <c r="C45" s="3" t="s">
        <v>31</v>
      </c>
      <c r="D45" s="22">
        <f t="shared" si="1"/>
        <v>187464</v>
      </c>
      <c r="E45" s="4"/>
      <c r="F45" s="4"/>
      <c r="G45" s="5"/>
      <c r="H45" s="5"/>
    </row>
    <row r="46" spans="1:10" ht="15.5">
      <c r="A46" s="8">
        <v>45103</v>
      </c>
      <c r="B46" s="9">
        <v>-2026</v>
      </c>
      <c r="C46" s="3" t="s">
        <v>37</v>
      </c>
      <c r="D46" s="22">
        <f t="shared" si="1"/>
        <v>185438</v>
      </c>
      <c r="E46" s="4"/>
      <c r="F46" s="17"/>
      <c r="G46" s="5"/>
      <c r="H46" s="5"/>
    </row>
    <row r="47" spans="1:10" ht="15.5">
      <c r="A47" s="8">
        <v>45101</v>
      </c>
      <c r="B47" s="9">
        <v>-4095</v>
      </c>
      <c r="C47" s="3" t="s">
        <v>499</v>
      </c>
      <c r="D47" s="22">
        <f t="shared" si="1"/>
        <v>181343</v>
      </c>
      <c r="E47" s="4"/>
      <c r="F47" s="4"/>
      <c r="G47" s="5"/>
      <c r="H47" s="5"/>
    </row>
    <row r="48" spans="1:10" ht="15.5">
      <c r="A48" s="8">
        <v>45102</v>
      </c>
      <c r="B48" s="9">
        <v>-1550</v>
      </c>
      <c r="C48" s="3" t="s">
        <v>326</v>
      </c>
      <c r="D48" s="22">
        <f t="shared" si="1"/>
        <v>179793</v>
      </c>
      <c r="E48" s="4"/>
      <c r="F48" s="4"/>
      <c r="G48" s="5"/>
      <c r="H48" s="5"/>
    </row>
    <row r="49" spans="1:10" ht="15.5">
      <c r="A49" s="8">
        <v>45103</v>
      </c>
      <c r="B49" s="9">
        <v>-3356</v>
      </c>
      <c r="C49" s="3" t="s">
        <v>500</v>
      </c>
      <c r="D49" s="22">
        <f t="shared" si="1"/>
        <v>176437</v>
      </c>
      <c r="E49" s="4"/>
      <c r="F49" s="4"/>
      <c r="G49" s="5"/>
      <c r="H49" s="5"/>
    </row>
    <row r="50" spans="1:10" ht="15.5">
      <c r="A50" s="8">
        <v>45105</v>
      </c>
      <c r="B50" s="9">
        <v>-1000</v>
      </c>
      <c r="C50" s="3" t="s">
        <v>25</v>
      </c>
      <c r="D50" s="22">
        <f t="shared" si="1"/>
        <v>175437</v>
      </c>
      <c r="E50" s="4"/>
      <c r="F50" s="4"/>
      <c r="G50" s="5"/>
      <c r="H50" s="5"/>
    </row>
    <row r="51" spans="1:10" ht="15.5">
      <c r="A51" s="8">
        <v>45106</v>
      </c>
      <c r="B51" s="9">
        <v>-800</v>
      </c>
      <c r="C51" s="3" t="s">
        <v>501</v>
      </c>
      <c r="D51" s="22">
        <f t="shared" si="1"/>
        <v>174637</v>
      </c>
      <c r="E51" s="4"/>
      <c r="F51" s="4"/>
      <c r="G51" s="5"/>
      <c r="H51" s="5"/>
      <c r="J51" s="11">
        <v>284865</v>
      </c>
    </row>
    <row r="52" spans="1:10" ht="15.5">
      <c r="A52" s="8">
        <v>45106</v>
      </c>
      <c r="B52" s="9">
        <v>-450</v>
      </c>
      <c r="C52" s="3" t="s">
        <v>501</v>
      </c>
      <c r="D52" s="22">
        <f t="shared" si="1"/>
        <v>174187</v>
      </c>
      <c r="E52" s="4"/>
      <c r="F52" s="4" t="s">
        <v>39</v>
      </c>
      <c r="G52" s="2">
        <v>385000</v>
      </c>
      <c r="H52" s="5"/>
    </row>
    <row r="53" spans="1:10" ht="15.5">
      <c r="A53" s="8">
        <v>45107</v>
      </c>
      <c r="B53" s="9">
        <v>-1925</v>
      </c>
      <c r="C53" s="3" t="s">
        <v>37</v>
      </c>
      <c r="D53" s="22">
        <f t="shared" si="1"/>
        <v>172262</v>
      </c>
      <c r="E53" s="4"/>
      <c r="F53" s="4" t="s">
        <v>41</v>
      </c>
      <c r="G53" s="2">
        <v>-3133.64</v>
      </c>
      <c r="H53" s="5"/>
    </row>
    <row r="54" spans="1:10" ht="15.5">
      <c r="A54" s="8">
        <v>45099</v>
      </c>
      <c r="B54" s="9">
        <v>-8000</v>
      </c>
      <c r="C54" s="3" t="s">
        <v>502</v>
      </c>
      <c r="D54" s="22">
        <f t="shared" si="1"/>
        <v>164262</v>
      </c>
      <c r="E54" s="4"/>
      <c r="F54" s="19" t="s">
        <v>43</v>
      </c>
      <c r="G54" s="2">
        <v>-368.66</v>
      </c>
      <c r="H54" s="5"/>
    </row>
    <row r="55" spans="1:10" ht="15.5">
      <c r="A55" s="8">
        <v>45099</v>
      </c>
      <c r="B55" s="9">
        <v>8000</v>
      </c>
      <c r="C55" s="3" t="s">
        <v>502</v>
      </c>
      <c r="D55" s="22">
        <f t="shared" si="1"/>
        <v>172262</v>
      </c>
      <c r="E55" s="4"/>
      <c r="F55" s="4" t="s">
        <v>44</v>
      </c>
      <c r="G55" s="2">
        <v>-1163.1300000000001</v>
      </c>
      <c r="H55" s="5"/>
    </row>
    <row r="56" spans="1:10" ht="15.5">
      <c r="A56" s="8">
        <v>45107</v>
      </c>
      <c r="B56" s="9">
        <v>-11000</v>
      </c>
      <c r="C56" s="3" t="s">
        <v>502</v>
      </c>
      <c r="D56" s="22">
        <f t="shared" si="1"/>
        <v>161262</v>
      </c>
      <c r="E56" s="4"/>
      <c r="F56" s="4" t="s">
        <v>45</v>
      </c>
      <c r="G56" s="2">
        <v>-553</v>
      </c>
      <c r="H56" s="5"/>
    </row>
    <row r="57" spans="1:10" ht="15.5">
      <c r="A57" s="8">
        <v>45107</v>
      </c>
      <c r="B57" s="9">
        <v>11000</v>
      </c>
      <c r="C57" s="3" t="s">
        <v>502</v>
      </c>
      <c r="D57" s="22">
        <f t="shared" si="1"/>
        <v>172262</v>
      </c>
      <c r="E57" s="4"/>
      <c r="F57" s="4" t="s">
        <v>46</v>
      </c>
      <c r="G57" s="2">
        <v>-553</v>
      </c>
      <c r="H57" s="5"/>
    </row>
    <row r="58" spans="1:10" ht="15.5">
      <c r="A58" s="8">
        <v>45107</v>
      </c>
      <c r="B58" s="9">
        <v>-6000</v>
      </c>
      <c r="C58" s="3" t="s">
        <v>503</v>
      </c>
      <c r="D58" s="22">
        <f t="shared" si="1"/>
        <v>166262</v>
      </c>
      <c r="E58" s="4"/>
      <c r="F58" s="4" t="s">
        <v>47</v>
      </c>
      <c r="G58" s="2">
        <v>-553</v>
      </c>
      <c r="H58" s="5"/>
    </row>
    <row r="59" spans="1:10" ht="15.5">
      <c r="A59" s="8">
        <v>45107</v>
      </c>
      <c r="B59" s="9">
        <v>-7700</v>
      </c>
      <c r="C59" s="3" t="s">
        <v>504</v>
      </c>
      <c r="D59" s="22">
        <f t="shared" si="1"/>
        <v>158562</v>
      </c>
      <c r="E59" s="4"/>
      <c r="H59" s="5"/>
    </row>
    <row r="60" spans="1:10" ht="15.5">
      <c r="A60" s="8">
        <v>45107</v>
      </c>
      <c r="B60" s="9">
        <v>7700</v>
      </c>
      <c r="C60" s="3" t="s">
        <v>504</v>
      </c>
      <c r="D60" s="22">
        <f t="shared" si="1"/>
        <v>166262</v>
      </c>
      <c r="E60" s="4"/>
      <c r="F60" s="4" t="s">
        <v>48</v>
      </c>
      <c r="G60" s="2">
        <f>SUM(G52:G58)</f>
        <v>378675.57</v>
      </c>
      <c r="H60" s="5"/>
    </row>
    <row r="61" spans="1:10" ht="15.5">
      <c r="A61" s="8">
        <v>45107</v>
      </c>
      <c r="B61" s="9">
        <v>-31000</v>
      </c>
      <c r="C61" s="3" t="s">
        <v>431</v>
      </c>
      <c r="D61" s="22">
        <f t="shared" si="1"/>
        <v>135262</v>
      </c>
      <c r="E61" s="4"/>
      <c r="F61" s="4" t="s">
        <v>49</v>
      </c>
      <c r="G61" s="2">
        <f>+G60*0.25</f>
        <v>94668.892500000002</v>
      </c>
      <c r="H61" s="5"/>
    </row>
    <row r="62" spans="1:10" ht="15.5">
      <c r="A62" s="8"/>
      <c r="B62" s="9"/>
      <c r="C62" s="3"/>
      <c r="D62" s="22">
        <f t="shared" si="1"/>
        <v>135262</v>
      </c>
      <c r="E62" s="4"/>
      <c r="F62" s="4" t="s">
        <v>50</v>
      </c>
      <c r="G62" s="5">
        <v>-90000</v>
      </c>
      <c r="H62" s="5"/>
      <c r="J62" s="2"/>
    </row>
    <row r="63" spans="1:10" ht="15.5">
      <c r="A63" s="8"/>
      <c r="B63" s="9"/>
      <c r="C63" s="3"/>
      <c r="D63" s="22">
        <f t="shared" si="1"/>
        <v>135262</v>
      </c>
      <c r="E63" s="4"/>
      <c r="F63" s="4" t="s">
        <v>52</v>
      </c>
      <c r="G63" s="5">
        <f>SUM(G61:G62)</f>
        <v>4668.8925000000017</v>
      </c>
      <c r="H63" s="5"/>
    </row>
    <row r="64" spans="1:10" ht="15.5">
      <c r="A64" s="8"/>
      <c r="B64" s="9"/>
      <c r="C64" s="3"/>
      <c r="D64" s="22">
        <f t="shared" si="1"/>
        <v>135262</v>
      </c>
      <c r="E64" s="4"/>
      <c r="F64" s="4"/>
      <c r="G64" s="5"/>
      <c r="H64" s="5"/>
    </row>
    <row r="65" spans="1:10" ht="15.5">
      <c r="A65" s="8"/>
      <c r="B65" s="9"/>
      <c r="C65" s="3"/>
      <c r="D65" s="10"/>
      <c r="E65" s="4"/>
      <c r="F65" s="4"/>
      <c r="G65" s="5"/>
      <c r="H65" s="5"/>
      <c r="J65" s="11"/>
    </row>
    <row r="66" spans="1:10" ht="15.5">
      <c r="A66" s="8"/>
      <c r="B66" s="9"/>
      <c r="C66" s="3"/>
      <c r="D66" s="10"/>
      <c r="E66" s="4"/>
      <c r="F66" s="4"/>
      <c r="G66" s="5"/>
      <c r="H66" s="5"/>
    </row>
    <row r="67" spans="1:10" ht="15.5">
      <c r="A67" s="8"/>
      <c r="B67" s="9">
        <v>118000</v>
      </c>
      <c r="C67" s="3" t="s">
        <v>505</v>
      </c>
      <c r="D67" s="10"/>
      <c r="E67" s="4"/>
      <c r="F67" s="4"/>
      <c r="G67" s="5"/>
      <c r="H67" s="5">
        <v>284865</v>
      </c>
    </row>
    <row r="68" spans="1:10" ht="15.5">
      <c r="A68" s="8"/>
      <c r="B68" s="9"/>
      <c r="C68" s="3"/>
      <c r="D68" s="10"/>
      <c r="E68" s="4"/>
      <c r="F68" s="4"/>
      <c r="G68" s="5"/>
      <c r="H68" s="5">
        <v>90000</v>
      </c>
    </row>
    <row r="69" spans="1:10" ht="15.5">
      <c r="A69" s="8"/>
      <c r="B69" s="9"/>
      <c r="C69" s="3"/>
      <c r="D69" s="10"/>
      <c r="E69" s="4"/>
      <c r="F69" s="17">
        <f>SUM(B28:B66)</f>
        <v>-102282</v>
      </c>
      <c r="G69" s="5"/>
      <c r="H69" s="5">
        <v>5000</v>
      </c>
    </row>
    <row r="70" spans="1:10" ht="15.5">
      <c r="A70" s="8"/>
      <c r="B70" s="9"/>
      <c r="C70" s="3"/>
      <c r="D70" s="10"/>
      <c r="E70" s="4"/>
      <c r="F70" s="4"/>
      <c r="G70" s="5"/>
      <c r="H70" s="5">
        <f>SUM(H67:H69)</f>
        <v>379865</v>
      </c>
    </row>
    <row r="71" spans="1:10" ht="15.5">
      <c r="A71" s="8"/>
      <c r="B71" s="9"/>
      <c r="C71" s="3"/>
      <c r="D71" s="10"/>
      <c r="E71" s="4"/>
      <c r="F71" s="4"/>
      <c r="G71" s="5"/>
      <c r="H71" s="5"/>
    </row>
    <row r="72" spans="1:10" ht="15.5">
      <c r="A72" s="8"/>
      <c r="B72" s="9"/>
      <c r="C72" s="3"/>
      <c r="D72" s="10"/>
      <c r="E72" s="4"/>
      <c r="F72" s="4"/>
      <c r="G72" s="5"/>
      <c r="H72" s="5"/>
    </row>
    <row r="73" spans="1:10" ht="15.5">
      <c r="A73" s="8"/>
      <c r="B73" s="9"/>
      <c r="C73" s="3"/>
      <c r="D73" s="10"/>
      <c r="E73" s="4"/>
      <c r="F73" s="4"/>
      <c r="G73" s="5"/>
      <c r="H73" s="5"/>
    </row>
    <row r="74" spans="1:10" ht="15.5">
      <c r="A74" s="8"/>
      <c r="B74" s="9"/>
      <c r="C74" s="3"/>
      <c r="D74" s="10"/>
      <c r="E74" s="4"/>
      <c r="F74" s="4"/>
      <c r="G74" s="5"/>
      <c r="H74" s="5"/>
    </row>
    <row r="75" spans="1:10" ht="15.5">
      <c r="A75" s="8"/>
      <c r="B75" s="9"/>
      <c r="C75" s="3"/>
      <c r="D75" s="10"/>
      <c r="E75" s="4"/>
      <c r="F75" s="4"/>
      <c r="G75" s="5"/>
      <c r="H75" s="5"/>
    </row>
    <row r="76" spans="1:10" ht="15.5">
      <c r="A76" s="8"/>
      <c r="B76" s="9"/>
      <c r="C76" s="3"/>
      <c r="D76" s="10"/>
      <c r="E76" s="4"/>
      <c r="F76" s="4"/>
      <c r="G76" s="5"/>
      <c r="H76" s="5"/>
    </row>
    <row r="77" spans="1:10" ht="15.5">
      <c r="A77" s="8"/>
      <c r="B77" s="9"/>
      <c r="C77" s="3"/>
      <c r="D77" s="10"/>
      <c r="E77" s="4"/>
      <c r="F77" s="4"/>
      <c r="G77" s="5"/>
      <c r="H77" s="5"/>
    </row>
    <row r="78" spans="1:10" ht="15.5">
      <c r="A78" s="8"/>
      <c r="B78" s="9"/>
      <c r="C78" s="3"/>
      <c r="D78" s="10"/>
      <c r="E78" s="4"/>
      <c r="F78" s="4"/>
      <c r="G78" s="5"/>
      <c r="H78" s="5"/>
    </row>
    <row r="79" spans="1:10" ht="15.5">
      <c r="A79" s="8"/>
      <c r="B79" s="9"/>
      <c r="C79" s="3"/>
      <c r="D79" s="10"/>
      <c r="E79" s="4"/>
      <c r="F79" s="4"/>
      <c r="G79" s="5"/>
      <c r="H79" s="5"/>
    </row>
    <row r="80" spans="1:10" ht="15.5">
      <c r="A80" s="8"/>
      <c r="B80" s="9"/>
      <c r="C80" s="3"/>
      <c r="D80" s="10"/>
      <c r="E80" s="4"/>
      <c r="F80" s="4"/>
      <c r="G80" s="5"/>
      <c r="H80" s="5"/>
    </row>
    <row r="81" spans="1:8" ht="15.5">
      <c r="A81" s="8"/>
      <c r="B81" s="9"/>
      <c r="C81" s="3"/>
      <c r="D81" s="10"/>
      <c r="E81" s="4"/>
      <c r="F81" s="4"/>
      <c r="G81" s="5"/>
      <c r="H81" s="5"/>
    </row>
    <row r="82" spans="1:8" ht="15.5">
      <c r="A82" s="8"/>
      <c r="B82" s="9"/>
      <c r="C82" s="3"/>
      <c r="D82" s="10"/>
      <c r="E82" s="4"/>
      <c r="F82" s="4"/>
      <c r="G82" s="5"/>
      <c r="H82" s="5"/>
    </row>
    <row r="83" spans="1:8" ht="15.5">
      <c r="A83" s="8"/>
      <c r="B83" s="9"/>
      <c r="C83" s="3"/>
      <c r="D83" s="10"/>
      <c r="E83" s="4"/>
      <c r="F83" s="4"/>
      <c r="G83" s="5"/>
      <c r="H83" s="5"/>
    </row>
    <row r="84" spans="1:8" ht="15.5">
      <c r="A84" s="8"/>
      <c r="B84" s="9"/>
      <c r="C84" s="3"/>
      <c r="D84" s="10"/>
      <c r="E84" s="4"/>
      <c r="F84" s="4"/>
      <c r="G84" s="5"/>
      <c r="H84" s="5"/>
    </row>
    <row r="85" spans="1:8" ht="15.5">
      <c r="A85" s="8"/>
      <c r="B85" s="9"/>
      <c r="C85" s="3"/>
      <c r="D85" s="10"/>
      <c r="E85" s="4"/>
      <c r="F85" s="4"/>
      <c r="G85" s="5"/>
      <c r="H85" s="5"/>
    </row>
    <row r="86" spans="1:8" ht="15.5">
      <c r="A86" s="8"/>
      <c r="B86" s="9"/>
      <c r="C86" s="3"/>
      <c r="D86" s="10"/>
      <c r="E86" s="4"/>
      <c r="F86" s="4"/>
      <c r="G86" s="5"/>
      <c r="H86" s="5"/>
    </row>
    <row r="87" spans="1:8" ht="15.5">
      <c r="A87" s="8"/>
      <c r="B87" s="9"/>
      <c r="C87" s="3"/>
      <c r="D87" s="10"/>
      <c r="E87" s="4"/>
      <c r="F87" s="4"/>
      <c r="G87" s="5"/>
      <c r="H87" s="5"/>
    </row>
    <row r="88" spans="1:8" ht="15.5">
      <c r="A88" s="8"/>
      <c r="B88" s="9"/>
      <c r="C88" s="3"/>
      <c r="D88" s="10"/>
      <c r="E88" s="4"/>
      <c r="F88" s="4"/>
      <c r="G88" s="5"/>
      <c r="H88" s="5"/>
    </row>
    <row r="89" spans="1:8" ht="15.5">
      <c r="A89" s="8"/>
      <c r="B89" s="9"/>
      <c r="C89" s="3"/>
      <c r="D89" s="10"/>
      <c r="E89" s="4"/>
      <c r="F89" s="4"/>
      <c r="G89" s="5"/>
      <c r="H89" s="5"/>
    </row>
    <row r="90" spans="1:8" ht="15.5">
      <c r="A90" s="8">
        <v>45078</v>
      </c>
      <c r="B90" s="9"/>
      <c r="C90" s="3" t="s">
        <v>416</v>
      </c>
      <c r="D90" s="3"/>
      <c r="E90" s="4"/>
      <c r="F90" s="4"/>
      <c r="G90" s="5"/>
      <c r="H90" s="5"/>
    </row>
    <row r="91" spans="1:8" ht="15.5">
      <c r="A91" s="8">
        <v>45082</v>
      </c>
      <c r="B91" s="9"/>
      <c r="C91" s="3" t="s">
        <v>239</v>
      </c>
      <c r="D91" s="3"/>
      <c r="E91" s="4"/>
      <c r="F91" s="4"/>
      <c r="G91" s="5"/>
      <c r="H91" s="5"/>
    </row>
    <row r="92" spans="1:8" ht="15.5">
      <c r="A92" s="8">
        <v>45078</v>
      </c>
      <c r="B92" s="9"/>
      <c r="C92" s="3" t="s">
        <v>241</v>
      </c>
      <c r="D92" s="3"/>
      <c r="E92" s="4"/>
      <c r="F92" s="4"/>
      <c r="G92" s="5"/>
      <c r="H92" s="5"/>
    </row>
    <row r="93" spans="1:8" ht="15.5">
      <c r="A93" s="8">
        <v>45078</v>
      </c>
      <c r="B93" s="9"/>
      <c r="C93" s="3" t="s">
        <v>242</v>
      </c>
      <c r="D93" s="3"/>
      <c r="E93" s="4"/>
      <c r="F93" s="4"/>
      <c r="G93" s="5"/>
      <c r="H93" s="5"/>
    </row>
    <row r="94" spans="1:8" ht="15.5">
      <c r="A94" s="8">
        <v>45089</v>
      </c>
      <c r="B94" s="9"/>
      <c r="C94" s="3" t="s">
        <v>485</v>
      </c>
      <c r="D94" s="10">
        <f>SUM(B91:B94)</f>
        <v>0</v>
      </c>
      <c r="E94" s="4"/>
      <c r="F94" s="4"/>
      <c r="G94" s="5"/>
      <c r="H94" s="5"/>
    </row>
    <row r="95" spans="1:8" ht="15.5">
      <c r="A95" s="8">
        <v>45078</v>
      </c>
      <c r="B95" s="9">
        <v>0</v>
      </c>
      <c r="C95" s="3" t="s">
        <v>415</v>
      </c>
      <c r="D95" s="3"/>
      <c r="E95" s="4"/>
      <c r="F95" s="4"/>
      <c r="G95" s="5"/>
      <c r="H95" s="5"/>
    </row>
    <row r="96" spans="1:8" ht="15.5">
      <c r="A96" s="8">
        <v>45078</v>
      </c>
      <c r="B96" s="9"/>
      <c r="C96" s="3" t="s">
        <v>243</v>
      </c>
      <c r="D96" s="3"/>
      <c r="E96" s="4"/>
      <c r="F96" s="4"/>
      <c r="G96" s="5"/>
      <c r="H96" s="5"/>
    </row>
    <row r="97" spans="1:8" ht="15.5">
      <c r="A97" s="8">
        <v>45078</v>
      </c>
      <c r="B97" s="9"/>
      <c r="C97" s="3" t="s">
        <v>244</v>
      </c>
      <c r="D97" s="10">
        <f>+B97+B96</f>
        <v>0</v>
      </c>
      <c r="E97" s="4"/>
      <c r="F97" s="4"/>
      <c r="G97" s="5"/>
      <c r="H97" s="5"/>
    </row>
    <row r="98" spans="1:8" ht="15.5">
      <c r="A98" s="13">
        <v>45078</v>
      </c>
      <c r="B98" s="12">
        <v>-2000</v>
      </c>
      <c r="C98" s="14" t="s">
        <v>436</v>
      </c>
      <c r="D98" s="22">
        <f t="shared" ref="D98:D129" si="2">+D97+B98</f>
        <v>-2000</v>
      </c>
      <c r="E98" s="4"/>
      <c r="F98" s="4"/>
      <c r="G98" s="5"/>
      <c r="H98" s="5"/>
    </row>
    <row r="99" spans="1:8" ht="15.5">
      <c r="A99" s="13">
        <v>45081</v>
      </c>
      <c r="B99" s="12">
        <v>-2600</v>
      </c>
      <c r="C99" s="14" t="s">
        <v>486</v>
      </c>
      <c r="D99" s="22">
        <f t="shared" si="2"/>
        <v>-4600</v>
      </c>
      <c r="E99" s="4"/>
      <c r="F99" s="4"/>
      <c r="G99" s="5"/>
      <c r="H99" s="5"/>
    </row>
    <row r="100" spans="1:8" ht="15.5">
      <c r="A100" s="13">
        <v>45080</v>
      </c>
      <c r="B100" s="12">
        <v>-2400</v>
      </c>
      <c r="C100" s="14" t="s">
        <v>366</v>
      </c>
      <c r="D100" s="22">
        <f t="shared" si="2"/>
        <v>-7000</v>
      </c>
      <c r="E100" s="4"/>
      <c r="F100" s="4"/>
      <c r="G100" s="5"/>
      <c r="H100" s="5"/>
    </row>
    <row r="101" spans="1:8" ht="15.5">
      <c r="A101" s="13">
        <v>45084</v>
      </c>
      <c r="C101" s="16" t="s">
        <v>487</v>
      </c>
      <c r="D101" s="22">
        <f t="shared" si="2"/>
        <v>-7000</v>
      </c>
      <c r="E101" s="4"/>
      <c r="F101" s="4"/>
      <c r="G101" s="5"/>
      <c r="H101" s="5"/>
    </row>
    <row r="102" spans="1:8" ht="15.5">
      <c r="A102" s="13">
        <v>45084</v>
      </c>
      <c r="B102" s="12">
        <f>-14*54</f>
        <v>-756</v>
      </c>
      <c r="C102" s="14" t="s">
        <v>488</v>
      </c>
      <c r="D102" s="22">
        <f t="shared" si="2"/>
        <v>-7756</v>
      </c>
      <c r="E102" s="4"/>
      <c r="F102" s="4"/>
      <c r="G102" s="5"/>
      <c r="H102" s="5"/>
    </row>
    <row r="103" spans="1:8" ht="15.5">
      <c r="A103" s="13">
        <v>45085</v>
      </c>
      <c r="B103" s="12">
        <v>-2000</v>
      </c>
      <c r="C103" s="14" t="s">
        <v>365</v>
      </c>
      <c r="D103" s="22">
        <f t="shared" si="2"/>
        <v>-9756</v>
      </c>
      <c r="E103" s="4"/>
      <c r="F103" s="4"/>
      <c r="G103" s="5"/>
      <c r="H103" s="5"/>
    </row>
    <row r="104" spans="1:8" ht="15.5">
      <c r="A104" s="13">
        <v>45085</v>
      </c>
      <c r="B104" s="12">
        <v>-2800</v>
      </c>
      <c r="C104" s="14" t="s">
        <v>6</v>
      </c>
      <c r="D104" s="22">
        <f t="shared" si="2"/>
        <v>-12556</v>
      </c>
      <c r="E104" s="4"/>
      <c r="F104" s="4"/>
      <c r="G104" s="5"/>
      <c r="H104" s="5"/>
    </row>
    <row r="105" spans="1:8" ht="15.5">
      <c r="A105" s="8">
        <v>45084</v>
      </c>
      <c r="B105" s="9">
        <v>-1000</v>
      </c>
      <c r="C105" s="3" t="s">
        <v>489</v>
      </c>
      <c r="D105" s="22">
        <f t="shared" si="2"/>
        <v>-13556</v>
      </c>
      <c r="E105" s="4"/>
      <c r="F105" s="4"/>
      <c r="G105" s="5"/>
      <c r="H105" s="5"/>
    </row>
    <row r="106" spans="1:8" ht="15.5">
      <c r="A106" s="8">
        <v>45083</v>
      </c>
      <c r="B106" s="9">
        <v>-1000</v>
      </c>
      <c r="C106" s="3" t="s">
        <v>18</v>
      </c>
      <c r="D106" s="22">
        <f t="shared" si="2"/>
        <v>-14556</v>
      </c>
      <c r="E106" s="4"/>
      <c r="F106" s="4"/>
      <c r="G106" s="5"/>
      <c r="H106" s="5"/>
    </row>
    <row r="107" spans="1:8" ht="15.5">
      <c r="A107" s="8">
        <v>45085</v>
      </c>
      <c r="B107" s="9"/>
      <c r="C107" s="3" t="s">
        <v>490</v>
      </c>
      <c r="D107" s="22">
        <f t="shared" si="2"/>
        <v>-14556</v>
      </c>
      <c r="E107" s="4"/>
      <c r="F107" s="4"/>
      <c r="G107" s="5"/>
      <c r="H107" s="5"/>
    </row>
    <row r="108" spans="1:8" ht="15.5">
      <c r="A108" s="8">
        <v>45086</v>
      </c>
      <c r="B108" s="9">
        <v>-4800</v>
      </c>
      <c r="C108" s="3" t="s">
        <v>37</v>
      </c>
      <c r="D108" s="22">
        <f t="shared" si="2"/>
        <v>-19356</v>
      </c>
      <c r="E108" s="4"/>
      <c r="F108" s="4"/>
      <c r="G108" s="5"/>
      <c r="H108" s="5"/>
    </row>
    <row r="109" spans="1:8" ht="15.5">
      <c r="A109" s="8">
        <v>45086</v>
      </c>
      <c r="B109" s="9">
        <v>-1000</v>
      </c>
      <c r="C109" s="3" t="s">
        <v>432</v>
      </c>
      <c r="D109" s="22">
        <f t="shared" si="2"/>
        <v>-20356</v>
      </c>
      <c r="E109" s="4"/>
      <c r="F109" s="4"/>
      <c r="G109" s="5"/>
      <c r="H109" s="5"/>
    </row>
    <row r="110" spans="1:8" ht="15.5">
      <c r="A110" s="8">
        <v>45087</v>
      </c>
      <c r="B110" s="9">
        <v>-1200</v>
      </c>
      <c r="C110" s="3" t="s">
        <v>432</v>
      </c>
      <c r="D110" s="22">
        <f t="shared" si="2"/>
        <v>-21556</v>
      </c>
      <c r="E110" s="4"/>
      <c r="F110" s="4"/>
      <c r="G110" s="5"/>
      <c r="H110" s="5"/>
    </row>
    <row r="111" spans="1:8" ht="15.5">
      <c r="A111" s="8">
        <v>45088</v>
      </c>
      <c r="B111" s="9">
        <v>-1800</v>
      </c>
      <c r="C111" s="3" t="s">
        <v>6</v>
      </c>
      <c r="D111" s="22">
        <f t="shared" si="2"/>
        <v>-23356</v>
      </c>
      <c r="E111" s="4"/>
      <c r="F111" s="4"/>
      <c r="G111" s="5"/>
      <c r="H111" s="5"/>
    </row>
    <row r="112" spans="1:8" ht="15.5">
      <c r="A112" s="8">
        <v>45089</v>
      </c>
      <c r="B112" s="9">
        <v>-4300</v>
      </c>
      <c r="C112" s="3" t="s">
        <v>37</v>
      </c>
      <c r="D112" s="22">
        <f t="shared" si="2"/>
        <v>-27656</v>
      </c>
      <c r="E112" s="4"/>
      <c r="F112" s="4"/>
      <c r="G112" s="5"/>
      <c r="H112" s="5"/>
    </row>
    <row r="113" spans="1:8" ht="15.5">
      <c r="A113" s="8">
        <v>45090</v>
      </c>
      <c r="B113" s="9"/>
      <c r="C113" s="3" t="s">
        <v>491</v>
      </c>
      <c r="D113" s="22">
        <f t="shared" si="2"/>
        <v>-27656</v>
      </c>
      <c r="E113" s="4"/>
      <c r="F113" s="4"/>
      <c r="G113" s="5"/>
      <c r="H113" s="5"/>
    </row>
    <row r="114" spans="1:8" ht="15.5">
      <c r="A114" s="8">
        <v>45091</v>
      </c>
      <c r="B114" s="9"/>
      <c r="C114" s="3" t="s">
        <v>492</v>
      </c>
      <c r="D114" s="22">
        <f t="shared" si="2"/>
        <v>-27656</v>
      </c>
      <c r="E114" s="4"/>
      <c r="F114" s="4"/>
      <c r="G114" s="5"/>
      <c r="H114" s="5"/>
    </row>
    <row r="115" spans="1:8" ht="15.5">
      <c r="A115" s="8">
        <v>45091</v>
      </c>
      <c r="B115" s="9"/>
      <c r="C115" s="3" t="s">
        <v>493</v>
      </c>
      <c r="D115" s="22">
        <f t="shared" si="2"/>
        <v>-27656</v>
      </c>
      <c r="E115" s="4"/>
      <c r="F115" s="4"/>
      <c r="G115" s="5"/>
      <c r="H115" s="5"/>
    </row>
    <row r="116" spans="1:8" ht="15.5">
      <c r="A116" s="8">
        <v>45091</v>
      </c>
      <c r="B116" s="9">
        <v>-5500</v>
      </c>
      <c r="C116" s="3" t="s">
        <v>37</v>
      </c>
      <c r="D116" s="22">
        <f t="shared" si="2"/>
        <v>-33156</v>
      </c>
      <c r="E116" s="4"/>
      <c r="F116" s="4"/>
      <c r="G116" s="5"/>
      <c r="H116" s="5"/>
    </row>
    <row r="117" spans="1:8" ht="15.5">
      <c r="A117" s="8">
        <v>45093</v>
      </c>
      <c r="B117" s="9">
        <v>-4600</v>
      </c>
      <c r="C117" s="3" t="s">
        <v>37</v>
      </c>
      <c r="D117" s="22">
        <f t="shared" si="2"/>
        <v>-37756</v>
      </c>
      <c r="E117" s="4"/>
      <c r="F117" s="4"/>
      <c r="G117" s="5"/>
      <c r="H117" s="5"/>
    </row>
    <row r="118" spans="1:8" ht="15.5">
      <c r="A118" s="8">
        <v>45092</v>
      </c>
      <c r="B118" s="9">
        <v>-680</v>
      </c>
      <c r="C118" s="3" t="s">
        <v>223</v>
      </c>
      <c r="D118" s="22">
        <f t="shared" si="2"/>
        <v>-38436</v>
      </c>
      <c r="E118" s="4"/>
      <c r="F118" s="4"/>
      <c r="G118" s="5"/>
      <c r="H118" s="5"/>
    </row>
    <row r="119" spans="1:8" ht="15.5">
      <c r="A119" s="8">
        <v>45093</v>
      </c>
      <c r="B119" s="9">
        <v>-900</v>
      </c>
      <c r="C119" s="3" t="s">
        <v>223</v>
      </c>
      <c r="D119" s="22">
        <f t="shared" si="2"/>
        <v>-39336</v>
      </c>
      <c r="E119" s="4"/>
      <c r="F119" s="4"/>
      <c r="G119" s="5"/>
      <c r="H119" s="5"/>
    </row>
    <row r="120" spans="1:8" ht="15.5">
      <c r="A120" s="8">
        <v>45088</v>
      </c>
      <c r="B120" s="9">
        <v>-900</v>
      </c>
      <c r="C120" s="3" t="s">
        <v>250</v>
      </c>
      <c r="D120" s="22">
        <f t="shared" si="2"/>
        <v>-40236</v>
      </c>
      <c r="E120" s="4"/>
      <c r="F120" s="4"/>
      <c r="G120" s="5"/>
      <c r="H120" s="5"/>
    </row>
    <row r="121" spans="1:8" ht="15.5">
      <c r="A121" s="8">
        <v>45095</v>
      </c>
      <c r="B121" s="9">
        <v>-1750</v>
      </c>
      <c r="C121" s="3" t="s">
        <v>223</v>
      </c>
      <c r="D121" s="22">
        <f t="shared" si="2"/>
        <v>-41986</v>
      </c>
      <c r="E121" s="4"/>
      <c r="F121" s="4"/>
      <c r="G121" s="5"/>
      <c r="H121" s="5"/>
    </row>
    <row r="122" spans="1:8" ht="15.5">
      <c r="A122" s="8">
        <v>45096</v>
      </c>
      <c r="B122" s="9"/>
      <c r="C122" s="3" t="s">
        <v>494</v>
      </c>
      <c r="D122" s="22">
        <f t="shared" si="2"/>
        <v>-41986</v>
      </c>
      <c r="E122" s="4"/>
      <c r="F122" s="4"/>
      <c r="G122" s="5"/>
      <c r="H122" s="5"/>
    </row>
    <row r="123" spans="1:8" ht="15.5">
      <c r="A123" s="8">
        <v>45096</v>
      </c>
      <c r="B123" s="9"/>
      <c r="C123" s="3" t="s">
        <v>494</v>
      </c>
      <c r="D123" s="22">
        <f t="shared" si="2"/>
        <v>-41986</v>
      </c>
      <c r="E123" s="4"/>
      <c r="F123" s="4"/>
      <c r="G123" s="5"/>
      <c r="H123" s="5"/>
    </row>
    <row r="124" spans="1:8" ht="15.5">
      <c r="A124" s="8">
        <v>45096</v>
      </c>
      <c r="B124" s="9">
        <v>-2000</v>
      </c>
      <c r="C124" s="3" t="s">
        <v>495</v>
      </c>
      <c r="D124" s="22">
        <f t="shared" si="2"/>
        <v>-43986</v>
      </c>
      <c r="E124" s="4"/>
      <c r="F124" s="4"/>
      <c r="G124" s="5"/>
      <c r="H124" s="5"/>
    </row>
    <row r="125" spans="1:8" ht="15.5">
      <c r="A125" s="8">
        <v>45096</v>
      </c>
      <c r="B125" s="9">
        <v>-8000</v>
      </c>
      <c r="C125" s="3" t="s">
        <v>495</v>
      </c>
      <c r="D125" s="22">
        <f t="shared" si="2"/>
        <v>-51986</v>
      </c>
      <c r="E125" s="4"/>
      <c r="F125" s="4"/>
      <c r="G125" s="5"/>
      <c r="H125" s="5"/>
    </row>
    <row r="126" spans="1:8" ht="15.5">
      <c r="A126" s="8">
        <v>45096</v>
      </c>
      <c r="B126" s="9">
        <v>-2700</v>
      </c>
      <c r="C126" s="3" t="s">
        <v>6</v>
      </c>
      <c r="D126" s="22">
        <f t="shared" si="2"/>
        <v>-54686</v>
      </c>
      <c r="E126" s="4"/>
      <c r="F126" s="4"/>
      <c r="G126" s="5"/>
      <c r="H126" s="5"/>
    </row>
    <row r="127" spans="1:8" ht="15.5">
      <c r="A127" s="8">
        <v>45099</v>
      </c>
      <c r="B127" s="9">
        <v>-2200</v>
      </c>
      <c r="C127" s="3" t="s">
        <v>37</v>
      </c>
      <c r="D127" s="22">
        <f t="shared" si="2"/>
        <v>-56886</v>
      </c>
      <c r="E127" s="4"/>
      <c r="F127" s="4"/>
      <c r="G127" s="5"/>
      <c r="H127" s="5"/>
    </row>
    <row r="128" spans="1:8" ht="15.5">
      <c r="A128" s="8">
        <v>45098</v>
      </c>
      <c r="B128" s="9">
        <v>-4000</v>
      </c>
      <c r="C128" s="3" t="s">
        <v>496</v>
      </c>
      <c r="D128" s="22">
        <f t="shared" si="2"/>
        <v>-60886</v>
      </c>
      <c r="E128" s="17"/>
      <c r="F128" s="4"/>
      <c r="G128" s="5"/>
      <c r="H128" s="5"/>
    </row>
    <row r="129" spans="1:8" ht="15.5">
      <c r="A129" s="8">
        <v>45099</v>
      </c>
      <c r="B129" s="9">
        <v>-2100</v>
      </c>
      <c r="C129" s="3" t="s">
        <v>497</v>
      </c>
      <c r="D129" s="22">
        <f t="shared" si="2"/>
        <v>-62986</v>
      </c>
    </row>
    <row r="130" spans="1:8" ht="15.5">
      <c r="A130" s="8">
        <v>45098</v>
      </c>
      <c r="B130" s="9">
        <v>-750</v>
      </c>
      <c r="C130" s="3" t="s">
        <v>498</v>
      </c>
      <c r="D130" s="22">
        <f t="shared" ref="D130:D148" si="3">+D129+B130</f>
        <v>-63736</v>
      </c>
      <c r="F130">
        <v>1300</v>
      </c>
      <c r="G130" s="2">
        <v>250</v>
      </c>
      <c r="H130" s="11">
        <f>+F130*G130</f>
        <v>325000</v>
      </c>
    </row>
    <row r="131" spans="1:8" ht="15.5">
      <c r="A131" s="8">
        <v>45101</v>
      </c>
      <c r="B131" s="9">
        <v>-1000</v>
      </c>
      <c r="C131" s="3" t="s">
        <v>21</v>
      </c>
      <c r="D131" s="22">
        <f t="shared" si="3"/>
        <v>-64736</v>
      </c>
      <c r="F131">
        <v>5300</v>
      </c>
      <c r="G131" s="2">
        <v>250</v>
      </c>
      <c r="H131" s="11">
        <f>+F131*G131</f>
        <v>1325000</v>
      </c>
    </row>
    <row r="132" spans="1:8" ht="15.5">
      <c r="A132" s="8">
        <v>45101</v>
      </c>
      <c r="B132" s="9">
        <v>-1000</v>
      </c>
      <c r="C132" s="3" t="s">
        <v>31</v>
      </c>
      <c r="D132" s="22">
        <f t="shared" si="3"/>
        <v>-65736</v>
      </c>
      <c r="F132">
        <f>1300*300</f>
        <v>390000</v>
      </c>
    </row>
    <row r="133" spans="1:8" ht="15.5">
      <c r="A133" s="8">
        <v>45103</v>
      </c>
      <c r="B133" s="9">
        <v>-2026</v>
      </c>
      <c r="C133" s="3" t="s">
        <v>37</v>
      </c>
      <c r="D133" s="22">
        <f t="shared" si="3"/>
        <v>-67762</v>
      </c>
    </row>
    <row r="134" spans="1:8" ht="15.5">
      <c r="A134" s="8">
        <v>45101</v>
      </c>
      <c r="B134" s="9">
        <v>-4095</v>
      </c>
      <c r="C134" s="3" t="s">
        <v>499</v>
      </c>
      <c r="D134" s="22">
        <f t="shared" si="3"/>
        <v>-71857</v>
      </c>
      <c r="F134">
        <f>5300*250</f>
        <v>1325000</v>
      </c>
    </row>
    <row r="135" spans="1:8" ht="15.5">
      <c r="A135" s="8">
        <v>45102</v>
      </c>
      <c r="B135" s="9">
        <v>-1550</v>
      </c>
      <c r="C135" s="3" t="s">
        <v>326</v>
      </c>
      <c r="D135" s="22">
        <f t="shared" si="3"/>
        <v>-73407</v>
      </c>
    </row>
    <row r="136" spans="1:8" ht="15.5">
      <c r="A136" s="8">
        <v>45103</v>
      </c>
      <c r="B136" s="9">
        <v>-3356</v>
      </c>
      <c r="C136" s="3" t="s">
        <v>500</v>
      </c>
      <c r="D136" s="22">
        <f t="shared" si="3"/>
        <v>-76763</v>
      </c>
      <c r="H136">
        <v>15000</v>
      </c>
    </row>
    <row r="137" spans="1:8" ht="15.5">
      <c r="A137" s="8">
        <v>45105</v>
      </c>
      <c r="B137" s="9">
        <v>-1000</v>
      </c>
      <c r="C137" s="3" t="s">
        <v>25</v>
      </c>
      <c r="D137" s="22">
        <f t="shared" si="3"/>
        <v>-77763</v>
      </c>
    </row>
    <row r="138" spans="1:8" ht="15.5">
      <c r="A138" s="8">
        <v>45106</v>
      </c>
      <c r="B138" s="9">
        <v>-800</v>
      </c>
      <c r="C138" s="3" t="s">
        <v>501</v>
      </c>
      <c r="D138" s="22">
        <f t="shared" si="3"/>
        <v>-78563</v>
      </c>
    </row>
    <row r="139" spans="1:8" ht="15.5">
      <c r="A139" s="8">
        <v>45106</v>
      </c>
      <c r="B139" s="9">
        <v>-450</v>
      </c>
      <c r="C139" s="3" t="s">
        <v>501</v>
      </c>
      <c r="D139" s="22">
        <f t="shared" si="3"/>
        <v>-79013</v>
      </c>
    </row>
    <row r="140" spans="1:8" ht="15.5">
      <c r="A140" s="8">
        <v>45107</v>
      </c>
      <c r="B140" s="9">
        <v>-1925</v>
      </c>
      <c r="C140" s="3" t="s">
        <v>37</v>
      </c>
      <c r="D140" s="22">
        <f t="shared" si="3"/>
        <v>-80938</v>
      </c>
    </row>
    <row r="141" spans="1:8" ht="15.5">
      <c r="A141" s="8">
        <v>45099</v>
      </c>
      <c r="B141" s="9"/>
      <c r="C141" s="3" t="s">
        <v>502</v>
      </c>
      <c r="D141" s="22">
        <f t="shared" si="3"/>
        <v>-80938</v>
      </c>
    </row>
    <row r="142" spans="1:8" ht="15.5">
      <c r="A142" s="8">
        <v>45099</v>
      </c>
      <c r="B142" s="9"/>
      <c r="C142" s="3" t="s">
        <v>502</v>
      </c>
      <c r="D142" s="22">
        <f t="shared" si="3"/>
        <v>-80938</v>
      </c>
    </row>
    <row r="143" spans="1:8" ht="15.5">
      <c r="A143" s="8">
        <v>45107</v>
      </c>
      <c r="B143" s="9"/>
      <c r="C143" s="3" t="s">
        <v>502</v>
      </c>
      <c r="D143" s="22">
        <f t="shared" si="3"/>
        <v>-80938</v>
      </c>
    </row>
    <row r="144" spans="1:8" ht="15.5">
      <c r="A144" s="8">
        <v>45107</v>
      </c>
      <c r="B144" s="9"/>
      <c r="C144" s="3" t="s">
        <v>502</v>
      </c>
      <c r="D144" s="22">
        <f t="shared" si="3"/>
        <v>-80938</v>
      </c>
    </row>
    <row r="145" spans="1:8" ht="15.5">
      <c r="A145" s="8">
        <v>45107</v>
      </c>
      <c r="B145" s="9">
        <v>-6000</v>
      </c>
      <c r="C145" s="3" t="s">
        <v>503</v>
      </c>
      <c r="D145" s="22">
        <f t="shared" si="3"/>
        <v>-86938</v>
      </c>
      <c r="F145">
        <v>325000</v>
      </c>
      <c r="G145" s="24">
        <v>3.4200000000000001E-2</v>
      </c>
      <c r="H145" s="11">
        <f>+F145*G145</f>
        <v>11115</v>
      </c>
    </row>
    <row r="146" spans="1:8" ht="15.5">
      <c r="A146" s="8">
        <v>45107</v>
      </c>
      <c r="B146" s="9"/>
      <c r="C146" s="3" t="s">
        <v>504</v>
      </c>
      <c r="D146" s="22">
        <f t="shared" si="3"/>
        <v>-86938</v>
      </c>
      <c r="F146">
        <v>1325000</v>
      </c>
      <c r="G146" s="25">
        <v>3.4200000000000001E-2</v>
      </c>
      <c r="H146" s="11">
        <f>+F146*G146</f>
        <v>45315</v>
      </c>
    </row>
    <row r="147" spans="1:8" ht="15.5">
      <c r="A147" s="8">
        <v>45107</v>
      </c>
      <c r="B147" s="9"/>
      <c r="C147" s="3" t="s">
        <v>504</v>
      </c>
      <c r="D147" s="22">
        <f t="shared" si="3"/>
        <v>-86938</v>
      </c>
    </row>
    <row r="148" spans="1:8" ht="15.5">
      <c r="A148" s="8">
        <v>45107</v>
      </c>
      <c r="B148" s="9">
        <v>-31000</v>
      </c>
      <c r="C148" s="3" t="s">
        <v>431</v>
      </c>
      <c r="D148" s="22">
        <f t="shared" si="3"/>
        <v>-117938</v>
      </c>
    </row>
    <row r="149" spans="1:8" ht="15.5">
      <c r="A149" s="8"/>
      <c r="B149" s="9"/>
      <c r="C149" s="3"/>
      <c r="D149" s="10"/>
      <c r="F149">
        <f>250*5300</f>
        <v>1325000</v>
      </c>
      <c r="H149">
        <f>SUM(H136:H148)</f>
        <v>71430</v>
      </c>
    </row>
    <row r="150" spans="1:8">
      <c r="B150" s="2">
        <f>+B147*1.63157894736842</f>
        <v>0</v>
      </c>
    </row>
    <row r="153" spans="1:8">
      <c r="B153" s="2">
        <f>SUM(B90:B152)</f>
        <v>-117938</v>
      </c>
    </row>
  </sheetData>
  <mergeCells count="2">
    <mergeCell ref="A1:C1"/>
    <mergeCell ref="G2:H2"/>
  </mergeCells>
  <pageMargins left="0.7" right="0.7" top="0.75" bottom="0.75" header="0.511811023622047" footer="0.511811023622047"/>
  <pageSetup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7"/>
  <sheetViews>
    <sheetView workbookViewId="0">
      <selection activeCell="I10" sqref="I10"/>
    </sheetView>
  </sheetViews>
  <sheetFormatPr baseColWidth="10" defaultRowHeight="14.5"/>
  <cols>
    <col min="1" max="1" width="11.26953125" bestFit="1" customWidth="1"/>
    <col min="2" max="2" width="13.81640625" customWidth="1"/>
    <col min="4" max="4" width="16.7265625" customWidth="1"/>
  </cols>
  <sheetData>
    <row r="1" spans="1:13">
      <c r="A1" s="204" t="s">
        <v>1008</v>
      </c>
      <c r="B1" s="205"/>
      <c r="C1" s="205"/>
      <c r="D1" s="205"/>
      <c r="E1" s="205"/>
      <c r="F1" s="206"/>
      <c r="G1" s="173"/>
      <c r="H1" s="173"/>
      <c r="I1" s="155">
        <f>PMT(+E4/12, +C3, -A3)</f>
        <v>19127.546841032949</v>
      </c>
    </row>
    <row r="2" spans="1:13">
      <c r="A2" s="43" t="s">
        <v>874</v>
      </c>
      <c r="C2" s="43" t="s">
        <v>875</v>
      </c>
      <c r="D2" s="43"/>
      <c r="E2" s="43"/>
      <c r="F2" s="43"/>
      <c r="G2" s="153"/>
      <c r="H2" s="153"/>
    </row>
    <row r="3" spans="1:13">
      <c r="A3" s="148">
        <v>1333200</v>
      </c>
      <c r="C3" s="43">
        <v>120</v>
      </c>
      <c r="D3" s="43"/>
      <c r="E3" s="43"/>
      <c r="F3" s="43"/>
      <c r="G3" s="153"/>
      <c r="H3" s="153"/>
      <c r="J3" t="s">
        <v>865</v>
      </c>
      <c r="L3" t="s">
        <v>907</v>
      </c>
    </row>
    <row r="4" spans="1:13">
      <c r="A4" s="43"/>
      <c r="B4" s="43"/>
      <c r="C4" s="43"/>
      <c r="D4" s="43"/>
      <c r="E4" s="154">
        <v>0.12</v>
      </c>
      <c r="F4" s="43"/>
      <c r="G4" s="153"/>
      <c r="H4" s="153"/>
      <c r="J4">
        <v>50000</v>
      </c>
      <c r="L4">
        <v>830000</v>
      </c>
      <c r="M4" t="e">
        <f>+#REF!-J4-L4</f>
        <v>#REF!</v>
      </c>
    </row>
    <row r="5" spans="1:13">
      <c r="A5" s="43"/>
      <c r="B5" s="43"/>
      <c r="C5" s="43"/>
      <c r="D5" s="43"/>
      <c r="E5" s="154"/>
      <c r="F5" s="43"/>
      <c r="G5" s="153"/>
      <c r="H5" s="153"/>
    </row>
    <row r="6" spans="1:13">
      <c r="A6" s="151" t="s">
        <v>876</v>
      </c>
      <c r="B6" s="151" t="s">
        <v>877</v>
      </c>
      <c r="C6" s="151" t="s">
        <v>878</v>
      </c>
      <c r="D6" s="151" t="s">
        <v>879</v>
      </c>
      <c r="E6" s="151" t="s">
        <v>880</v>
      </c>
      <c r="F6" s="151" t="s">
        <v>875</v>
      </c>
      <c r="G6" s="151" t="s">
        <v>969</v>
      </c>
      <c r="H6" s="151" t="s">
        <v>970</v>
      </c>
      <c r="I6" s="151" t="s">
        <v>949</v>
      </c>
    </row>
    <row r="7" spans="1:13">
      <c r="A7" s="148">
        <f>+I1</f>
        <v>19127.546841032949</v>
      </c>
      <c r="B7" s="148">
        <f>+A3*E4/12</f>
        <v>13332</v>
      </c>
      <c r="C7" s="148">
        <f>+A7-B7</f>
        <v>5795.5468410329486</v>
      </c>
      <c r="D7" s="148">
        <f>+A3-C7</f>
        <v>1327404.453158967</v>
      </c>
      <c r="E7" s="43">
        <f>+E4</f>
        <v>0.12</v>
      </c>
      <c r="F7" s="43">
        <f>+C3</f>
        <v>120</v>
      </c>
      <c r="G7" s="158">
        <v>45920</v>
      </c>
      <c r="H7" s="158">
        <v>45912</v>
      </c>
      <c r="I7" s="13" t="s">
        <v>971</v>
      </c>
    </row>
    <row r="8" spans="1:13">
      <c r="A8" s="148">
        <f>+A7</f>
        <v>19127.546841032949</v>
      </c>
      <c r="B8" s="148">
        <f>+D7*E7/12</f>
        <v>13274.04453158967</v>
      </c>
      <c r="C8" s="148">
        <f t="shared" ref="C8:C43" si="0">+A8-B8</f>
        <v>5853.5023094432781</v>
      </c>
      <c r="D8" s="148">
        <f>+D7-C8</f>
        <v>1321550.9508495238</v>
      </c>
      <c r="E8" s="43">
        <f t="shared" ref="E8:E43" si="1">+E7</f>
        <v>0.12</v>
      </c>
      <c r="F8" s="43">
        <f t="shared" ref="F8:F43" si="2">+F7-1</f>
        <v>119</v>
      </c>
      <c r="G8" s="158">
        <v>45950</v>
      </c>
      <c r="H8" s="158">
        <v>45940</v>
      </c>
      <c r="I8" s="14" t="s">
        <v>971</v>
      </c>
    </row>
    <row r="9" spans="1:13">
      <c r="A9" s="148">
        <f>+A8</f>
        <v>19127.546841032949</v>
      </c>
      <c r="B9" s="148">
        <f t="shared" ref="B9:B43" si="3">+D8*E8/12</f>
        <v>13215.509508495235</v>
      </c>
      <c r="C9" s="148">
        <f t="shared" si="0"/>
        <v>5912.0373325377132</v>
      </c>
      <c r="D9" s="148">
        <f t="shared" ref="D9:D43" si="4">+D8-C9</f>
        <v>1315638.913516986</v>
      </c>
      <c r="E9" s="43">
        <f t="shared" si="1"/>
        <v>0.12</v>
      </c>
      <c r="F9" s="43">
        <f t="shared" si="2"/>
        <v>118</v>
      </c>
      <c r="G9" s="158">
        <v>45981</v>
      </c>
      <c r="H9" s="158">
        <v>45991</v>
      </c>
      <c r="I9" s="14" t="s">
        <v>971</v>
      </c>
    </row>
    <row r="10" spans="1:13">
      <c r="A10" s="148">
        <f t="shared" ref="A10:A43" si="5">+A9</f>
        <v>19127.546841032949</v>
      </c>
      <c r="B10" s="148">
        <f t="shared" si="3"/>
        <v>13156.38913516986</v>
      </c>
      <c r="C10" s="148">
        <f t="shared" si="0"/>
        <v>5971.1577058630883</v>
      </c>
      <c r="D10" s="148">
        <f t="shared" si="4"/>
        <v>1309667.7558111229</v>
      </c>
      <c r="E10" s="43">
        <f t="shared" si="1"/>
        <v>0.12</v>
      </c>
      <c r="F10" s="43">
        <f t="shared" si="2"/>
        <v>117</v>
      </c>
      <c r="G10" s="43"/>
      <c r="H10" s="43"/>
      <c r="I10" s="14"/>
      <c r="J10">
        <v>880000</v>
      </c>
    </row>
    <row r="11" spans="1:13">
      <c r="A11" s="148">
        <f t="shared" si="5"/>
        <v>19127.546841032949</v>
      </c>
      <c r="B11" s="148">
        <f t="shared" si="3"/>
        <v>13096.677558111229</v>
      </c>
      <c r="C11" s="148">
        <f t="shared" si="0"/>
        <v>6030.8692829217198</v>
      </c>
      <c r="D11" s="148">
        <f t="shared" si="4"/>
        <v>1303636.8865282012</v>
      </c>
      <c r="E11" s="43">
        <f t="shared" si="1"/>
        <v>0.12</v>
      </c>
      <c r="F11" s="43">
        <f t="shared" si="2"/>
        <v>116</v>
      </c>
      <c r="G11" s="43"/>
      <c r="H11" s="43"/>
      <c r="I11" s="14"/>
    </row>
    <row r="12" spans="1:13">
      <c r="A12" s="148">
        <f t="shared" si="5"/>
        <v>19127.546841032949</v>
      </c>
      <c r="B12" s="148">
        <f t="shared" si="3"/>
        <v>13036.368865282011</v>
      </c>
      <c r="C12" s="148">
        <f t="shared" si="0"/>
        <v>6091.1779757509375</v>
      </c>
      <c r="D12" s="148">
        <f t="shared" si="4"/>
        <v>1297545.7085524502</v>
      </c>
      <c r="E12" s="43">
        <f t="shared" si="1"/>
        <v>0.12</v>
      </c>
      <c r="F12" s="43">
        <f t="shared" si="2"/>
        <v>115</v>
      </c>
      <c r="G12" s="43"/>
      <c r="H12" s="43"/>
      <c r="I12" s="14"/>
    </row>
    <row r="13" spans="1:13">
      <c r="A13" s="148">
        <f t="shared" si="5"/>
        <v>19127.546841032949</v>
      </c>
      <c r="B13" s="148">
        <f t="shared" si="3"/>
        <v>12975.457085524502</v>
      </c>
      <c r="C13" s="148">
        <f t="shared" si="0"/>
        <v>6152.0897555084466</v>
      </c>
      <c r="D13" s="148">
        <f t="shared" si="4"/>
        <v>1291393.6187969418</v>
      </c>
      <c r="E13" s="43">
        <f t="shared" si="1"/>
        <v>0.12</v>
      </c>
      <c r="F13" s="43">
        <f t="shared" si="2"/>
        <v>114</v>
      </c>
      <c r="G13" s="43"/>
      <c r="H13" s="43"/>
      <c r="I13" s="14"/>
    </row>
    <row r="14" spans="1:13">
      <c r="A14" s="148">
        <f t="shared" si="5"/>
        <v>19127.546841032949</v>
      </c>
      <c r="B14" s="148">
        <f t="shared" si="3"/>
        <v>12913.936187969419</v>
      </c>
      <c r="C14" s="148">
        <f t="shared" si="0"/>
        <v>6213.6106530635298</v>
      </c>
      <c r="D14" s="148">
        <f t="shared" si="4"/>
        <v>1285180.0081438783</v>
      </c>
      <c r="E14" s="43">
        <f t="shared" si="1"/>
        <v>0.12</v>
      </c>
      <c r="F14" s="43">
        <f t="shared" si="2"/>
        <v>113</v>
      </c>
      <c r="G14" s="43"/>
      <c r="H14" s="43"/>
      <c r="I14" s="14"/>
    </row>
    <row r="15" spans="1:13">
      <c r="A15" s="148">
        <f t="shared" si="5"/>
        <v>19127.546841032949</v>
      </c>
      <c r="B15" s="148">
        <f t="shared" si="3"/>
        <v>12851.800081438783</v>
      </c>
      <c r="C15" s="148">
        <f t="shared" si="0"/>
        <v>6275.7467595941653</v>
      </c>
      <c r="D15" s="148">
        <f t="shared" si="4"/>
        <v>1278904.2613842841</v>
      </c>
      <c r="E15" s="43">
        <f t="shared" si="1"/>
        <v>0.12</v>
      </c>
      <c r="F15" s="43">
        <f t="shared" si="2"/>
        <v>112</v>
      </c>
      <c r="G15" s="43"/>
      <c r="H15" s="43"/>
      <c r="I15" s="14"/>
    </row>
    <row r="16" spans="1:13">
      <c r="A16" s="148">
        <f t="shared" si="5"/>
        <v>19127.546841032949</v>
      </c>
      <c r="B16" s="148">
        <f t="shared" si="3"/>
        <v>12789.042613842839</v>
      </c>
      <c r="C16" s="148">
        <f t="shared" si="0"/>
        <v>6338.5042271901093</v>
      </c>
      <c r="D16" s="148">
        <f t="shared" si="4"/>
        <v>1272565.7571570941</v>
      </c>
      <c r="E16" s="43">
        <f t="shared" si="1"/>
        <v>0.12</v>
      </c>
      <c r="F16" s="43">
        <f t="shared" si="2"/>
        <v>111</v>
      </c>
      <c r="G16" s="43"/>
      <c r="H16" s="43"/>
      <c r="I16" s="14"/>
    </row>
    <row r="17" spans="1:9">
      <c r="A17" s="148">
        <f t="shared" si="5"/>
        <v>19127.546841032949</v>
      </c>
      <c r="B17" s="148">
        <f t="shared" si="3"/>
        <v>12725.65757157094</v>
      </c>
      <c r="C17" s="148">
        <f t="shared" si="0"/>
        <v>6401.8892694620081</v>
      </c>
      <c r="D17" s="148">
        <f t="shared" si="4"/>
        <v>1266163.867887632</v>
      </c>
      <c r="E17" s="43">
        <f t="shared" si="1"/>
        <v>0.12</v>
      </c>
      <c r="F17" s="43">
        <f t="shared" si="2"/>
        <v>110</v>
      </c>
      <c r="G17" s="43"/>
      <c r="H17" s="43"/>
      <c r="I17" s="14"/>
    </row>
    <row r="18" spans="1:9">
      <c r="A18" s="148">
        <f t="shared" si="5"/>
        <v>19127.546841032949</v>
      </c>
      <c r="B18" s="148">
        <f t="shared" si="3"/>
        <v>12661.638678876319</v>
      </c>
      <c r="C18" s="148">
        <f t="shared" si="0"/>
        <v>6465.9081621566293</v>
      </c>
      <c r="D18" s="148">
        <f t="shared" si="4"/>
        <v>1259697.9597254754</v>
      </c>
      <c r="E18" s="43">
        <f t="shared" si="1"/>
        <v>0.12</v>
      </c>
      <c r="F18" s="43">
        <f t="shared" si="2"/>
        <v>109</v>
      </c>
      <c r="G18" s="43"/>
      <c r="H18" s="43"/>
      <c r="I18" s="14"/>
    </row>
    <row r="19" spans="1:9">
      <c r="A19" s="148">
        <f t="shared" si="5"/>
        <v>19127.546841032949</v>
      </c>
      <c r="B19" s="148">
        <f t="shared" si="3"/>
        <v>12596.979597254753</v>
      </c>
      <c r="C19" s="148">
        <f t="shared" si="0"/>
        <v>6530.5672437781959</v>
      </c>
      <c r="D19" s="148">
        <f t="shared" si="4"/>
        <v>1253167.3924816973</v>
      </c>
      <c r="E19" s="43">
        <f t="shared" si="1"/>
        <v>0.12</v>
      </c>
      <c r="F19" s="43">
        <f t="shared" si="2"/>
        <v>108</v>
      </c>
      <c r="G19" s="43"/>
      <c r="H19" s="43"/>
      <c r="I19" s="170"/>
    </row>
    <row r="20" spans="1:9">
      <c r="A20" s="148">
        <f t="shared" si="5"/>
        <v>19127.546841032949</v>
      </c>
      <c r="B20" s="148">
        <f t="shared" si="3"/>
        <v>12531.673924816971</v>
      </c>
      <c r="C20" s="148">
        <f t="shared" si="0"/>
        <v>6595.872916215978</v>
      </c>
      <c r="D20" s="148">
        <f t="shared" si="4"/>
        <v>1246571.5195654812</v>
      </c>
      <c r="E20" s="43">
        <f t="shared" si="1"/>
        <v>0.12</v>
      </c>
      <c r="F20" s="43">
        <f t="shared" si="2"/>
        <v>107</v>
      </c>
      <c r="G20" s="43"/>
      <c r="H20" s="43"/>
      <c r="I20" s="170"/>
    </row>
    <row r="21" spans="1:9">
      <c r="A21" s="148">
        <f t="shared" si="5"/>
        <v>19127.546841032949</v>
      </c>
      <c r="B21" s="148">
        <f t="shared" si="3"/>
        <v>12465.715195654811</v>
      </c>
      <c r="C21" s="148">
        <f t="shared" si="0"/>
        <v>6661.8316453781372</v>
      </c>
      <c r="D21" s="148">
        <f t="shared" si="4"/>
        <v>1239909.6879201031</v>
      </c>
      <c r="E21" s="43">
        <f t="shared" si="1"/>
        <v>0.12</v>
      </c>
      <c r="F21" s="43">
        <f t="shared" si="2"/>
        <v>106</v>
      </c>
      <c r="G21" s="43"/>
      <c r="H21" s="43"/>
      <c r="I21" s="170"/>
    </row>
    <row r="22" spans="1:9">
      <c r="A22" s="148">
        <f t="shared" si="5"/>
        <v>19127.546841032949</v>
      </c>
      <c r="B22" s="148">
        <f t="shared" si="3"/>
        <v>12399.09687920103</v>
      </c>
      <c r="C22" s="148">
        <f t="shared" si="0"/>
        <v>6728.4499618319187</v>
      </c>
      <c r="D22" s="148">
        <f t="shared" si="4"/>
        <v>1233181.2379582711</v>
      </c>
      <c r="E22" s="43">
        <f t="shared" si="1"/>
        <v>0.12</v>
      </c>
      <c r="F22" s="43">
        <f t="shared" si="2"/>
        <v>105</v>
      </c>
      <c r="G22" s="43"/>
      <c r="H22" s="43"/>
      <c r="I22" s="14"/>
    </row>
    <row r="23" spans="1:9">
      <c r="A23" s="148">
        <f t="shared" si="5"/>
        <v>19127.546841032949</v>
      </c>
      <c r="B23" s="148">
        <f t="shared" si="3"/>
        <v>12331.81237958271</v>
      </c>
      <c r="C23" s="148">
        <f t="shared" si="0"/>
        <v>6795.7344614502381</v>
      </c>
      <c r="D23" s="148">
        <f t="shared" si="4"/>
        <v>1226385.5034968208</v>
      </c>
      <c r="E23" s="43">
        <f t="shared" si="1"/>
        <v>0.12</v>
      </c>
      <c r="F23" s="43">
        <f t="shared" si="2"/>
        <v>104</v>
      </c>
      <c r="G23" s="43"/>
      <c r="H23" s="43"/>
      <c r="I23" s="14"/>
    </row>
    <row r="24" spans="1:9">
      <c r="A24" s="148">
        <f t="shared" si="5"/>
        <v>19127.546841032949</v>
      </c>
      <c r="B24" s="148">
        <f t="shared" si="3"/>
        <v>12263.855034968206</v>
      </c>
      <c r="C24" s="148">
        <f t="shared" si="0"/>
        <v>6863.6918060647422</v>
      </c>
      <c r="D24" s="148">
        <f t="shared" si="4"/>
        <v>1219521.8116907561</v>
      </c>
      <c r="E24" s="43">
        <f t="shared" si="1"/>
        <v>0.12</v>
      </c>
      <c r="F24" s="43">
        <f t="shared" si="2"/>
        <v>103</v>
      </c>
      <c r="G24" s="43"/>
      <c r="H24" s="43"/>
      <c r="I24" s="14"/>
    </row>
    <row r="25" spans="1:9">
      <c r="A25" s="148">
        <f t="shared" si="5"/>
        <v>19127.546841032949</v>
      </c>
      <c r="B25" s="148">
        <f t="shared" si="3"/>
        <v>12195.218116907561</v>
      </c>
      <c r="C25" s="148">
        <f t="shared" si="0"/>
        <v>6932.3287241253875</v>
      </c>
      <c r="D25" s="148">
        <f t="shared" si="4"/>
        <v>1212589.4829666307</v>
      </c>
      <c r="E25" s="43">
        <f t="shared" si="1"/>
        <v>0.12</v>
      </c>
      <c r="F25" s="43">
        <f t="shared" si="2"/>
        <v>102</v>
      </c>
      <c r="G25" s="43"/>
      <c r="H25" s="43"/>
      <c r="I25" s="14"/>
    </row>
    <row r="26" spans="1:9">
      <c r="A26" s="148">
        <f t="shared" si="5"/>
        <v>19127.546841032949</v>
      </c>
      <c r="B26" s="148">
        <f t="shared" si="3"/>
        <v>12125.894829666307</v>
      </c>
      <c r="C26" s="148">
        <f t="shared" si="0"/>
        <v>7001.6520113666411</v>
      </c>
      <c r="D26" s="148">
        <f t="shared" si="4"/>
        <v>1205587.8309552642</v>
      </c>
      <c r="E26" s="43">
        <f t="shared" si="1"/>
        <v>0.12</v>
      </c>
      <c r="F26" s="43">
        <f t="shared" si="2"/>
        <v>101</v>
      </c>
      <c r="G26" s="43"/>
      <c r="H26" s="43"/>
      <c r="I26" s="14"/>
    </row>
    <row r="27" spans="1:9">
      <c r="A27" s="148">
        <f t="shared" si="5"/>
        <v>19127.546841032949</v>
      </c>
      <c r="B27" s="148">
        <f t="shared" si="3"/>
        <v>12055.87830955264</v>
      </c>
      <c r="C27" s="148">
        <f t="shared" si="0"/>
        <v>7071.668531480309</v>
      </c>
      <c r="D27" s="148">
        <f t="shared" si="4"/>
        <v>1198516.1624237839</v>
      </c>
      <c r="E27" s="43">
        <f t="shared" si="1"/>
        <v>0.12</v>
      </c>
      <c r="F27" s="43">
        <f t="shared" si="2"/>
        <v>100</v>
      </c>
      <c r="G27" s="43"/>
      <c r="H27" s="43"/>
      <c r="I27" s="14"/>
    </row>
    <row r="28" spans="1:9">
      <c r="A28" s="148">
        <f t="shared" si="5"/>
        <v>19127.546841032949</v>
      </c>
      <c r="B28" s="148">
        <f t="shared" si="3"/>
        <v>11985.161624237839</v>
      </c>
      <c r="C28" s="148">
        <f t="shared" si="0"/>
        <v>7142.38521679511</v>
      </c>
      <c r="D28" s="148">
        <f t="shared" si="4"/>
        <v>1191373.7772069888</v>
      </c>
      <c r="E28" s="43">
        <f t="shared" si="1"/>
        <v>0.12</v>
      </c>
      <c r="F28" s="43">
        <f t="shared" si="2"/>
        <v>99</v>
      </c>
      <c r="G28" s="43"/>
      <c r="H28" s="43"/>
      <c r="I28" s="14"/>
    </row>
    <row r="29" spans="1:9">
      <c r="A29" s="148">
        <f t="shared" si="5"/>
        <v>19127.546841032949</v>
      </c>
      <c r="B29" s="148">
        <f t="shared" si="3"/>
        <v>11913.737772069888</v>
      </c>
      <c r="C29" s="148">
        <f t="shared" si="0"/>
        <v>7213.8090689630608</v>
      </c>
      <c r="D29" s="148">
        <f t="shared" si="4"/>
        <v>1184159.9681380256</v>
      </c>
      <c r="E29" s="43">
        <f t="shared" si="1"/>
        <v>0.12</v>
      </c>
      <c r="F29" s="43">
        <f t="shared" si="2"/>
        <v>98</v>
      </c>
      <c r="G29" s="43"/>
      <c r="H29" s="43"/>
      <c r="I29" s="14"/>
    </row>
    <row r="30" spans="1:9">
      <c r="A30" s="148">
        <f t="shared" si="5"/>
        <v>19127.546841032949</v>
      </c>
      <c r="B30" s="148">
        <f t="shared" si="3"/>
        <v>11841.599681380256</v>
      </c>
      <c r="C30" s="148">
        <f t="shared" si="0"/>
        <v>7285.9471596526928</v>
      </c>
      <c r="D30" s="148">
        <f t="shared" si="4"/>
        <v>1176874.020978373</v>
      </c>
      <c r="E30" s="43">
        <f t="shared" si="1"/>
        <v>0.12</v>
      </c>
      <c r="F30" s="43">
        <f t="shared" si="2"/>
        <v>97</v>
      </c>
      <c r="G30" s="43"/>
      <c r="H30" s="43"/>
      <c r="I30" s="14"/>
    </row>
    <row r="31" spans="1:9">
      <c r="A31" s="148">
        <f t="shared" si="5"/>
        <v>19127.546841032949</v>
      </c>
      <c r="B31" s="148">
        <f t="shared" si="3"/>
        <v>11768.740209783731</v>
      </c>
      <c r="C31" s="148">
        <f t="shared" si="0"/>
        <v>7358.8066312492174</v>
      </c>
      <c r="D31" s="148">
        <f t="shared" si="4"/>
        <v>1169515.2143471239</v>
      </c>
      <c r="E31" s="43">
        <f t="shared" si="1"/>
        <v>0.12</v>
      </c>
      <c r="F31" s="43">
        <f t="shared" si="2"/>
        <v>96</v>
      </c>
      <c r="G31" s="43"/>
      <c r="H31" s="43"/>
      <c r="I31" s="14"/>
    </row>
    <row r="32" spans="1:9">
      <c r="A32" s="148">
        <f t="shared" si="5"/>
        <v>19127.546841032949</v>
      </c>
      <c r="B32" s="148">
        <f t="shared" si="3"/>
        <v>11695.152143471239</v>
      </c>
      <c r="C32" s="148">
        <f t="shared" si="0"/>
        <v>7432.3946975617091</v>
      </c>
      <c r="D32" s="148">
        <f t="shared" si="4"/>
        <v>1162082.8196495622</v>
      </c>
      <c r="E32" s="43">
        <f t="shared" si="1"/>
        <v>0.12</v>
      </c>
      <c r="F32" s="43">
        <f t="shared" si="2"/>
        <v>95</v>
      </c>
      <c r="G32" s="43"/>
      <c r="H32" s="43"/>
      <c r="I32" s="14"/>
    </row>
    <row r="33" spans="1:9">
      <c r="A33" s="148">
        <f t="shared" si="5"/>
        <v>19127.546841032949</v>
      </c>
      <c r="B33" s="148">
        <f t="shared" si="3"/>
        <v>11620.82819649562</v>
      </c>
      <c r="C33" s="148">
        <f t="shared" si="0"/>
        <v>7506.7186445373281</v>
      </c>
      <c r="D33" s="148">
        <f t="shared" si="4"/>
        <v>1154576.101005025</v>
      </c>
      <c r="E33" s="43">
        <f t="shared" si="1"/>
        <v>0.12</v>
      </c>
      <c r="F33" s="43">
        <f t="shared" si="2"/>
        <v>94</v>
      </c>
      <c r="G33" s="43"/>
      <c r="H33" s="43"/>
      <c r="I33" s="14"/>
    </row>
    <row r="34" spans="1:9">
      <c r="A34" s="148">
        <f t="shared" si="5"/>
        <v>19127.546841032949</v>
      </c>
      <c r="B34" s="148">
        <f t="shared" si="3"/>
        <v>11545.76101005025</v>
      </c>
      <c r="C34" s="148">
        <f t="shared" si="0"/>
        <v>7581.7858309826988</v>
      </c>
      <c r="D34" s="148">
        <f t="shared" si="4"/>
        <v>1146994.3151740422</v>
      </c>
      <c r="E34" s="43">
        <f t="shared" si="1"/>
        <v>0.12</v>
      </c>
      <c r="F34" s="43">
        <f t="shared" si="2"/>
        <v>93</v>
      </c>
      <c r="G34" s="43"/>
      <c r="H34" s="43"/>
      <c r="I34" s="14"/>
    </row>
    <row r="35" spans="1:9">
      <c r="A35" s="148">
        <f t="shared" si="5"/>
        <v>19127.546841032949</v>
      </c>
      <c r="B35" s="148">
        <f t="shared" si="3"/>
        <v>11469.943151740423</v>
      </c>
      <c r="C35" s="148">
        <f t="shared" si="0"/>
        <v>7657.6036892925258</v>
      </c>
      <c r="D35" s="148">
        <f t="shared" si="4"/>
        <v>1139336.7114847498</v>
      </c>
      <c r="E35" s="43">
        <f t="shared" si="1"/>
        <v>0.12</v>
      </c>
      <c r="F35" s="43">
        <f t="shared" si="2"/>
        <v>92</v>
      </c>
      <c r="G35" s="43"/>
      <c r="H35" s="43"/>
      <c r="I35" s="14"/>
    </row>
    <row r="36" spans="1:9">
      <c r="A36" s="148">
        <f t="shared" si="5"/>
        <v>19127.546841032949</v>
      </c>
      <c r="B36" s="148">
        <f t="shared" si="3"/>
        <v>11393.367114847497</v>
      </c>
      <c r="C36" s="148">
        <f t="shared" si="0"/>
        <v>7734.1797261854517</v>
      </c>
      <c r="D36" s="148">
        <f t="shared" si="4"/>
        <v>1131602.5317585643</v>
      </c>
      <c r="E36" s="43">
        <f t="shared" si="1"/>
        <v>0.12</v>
      </c>
      <c r="F36" s="43">
        <f t="shared" si="2"/>
        <v>91</v>
      </c>
      <c r="G36" s="43"/>
      <c r="H36" s="43"/>
      <c r="I36" s="14"/>
    </row>
    <row r="37" spans="1:9">
      <c r="A37" s="148">
        <f t="shared" si="5"/>
        <v>19127.546841032949</v>
      </c>
      <c r="B37" s="148">
        <f t="shared" si="3"/>
        <v>11316.025317585641</v>
      </c>
      <c r="C37" s="148">
        <f t="shared" si="0"/>
        <v>7811.5215234473071</v>
      </c>
      <c r="D37" s="148">
        <f t="shared" si="4"/>
        <v>1123791.010235117</v>
      </c>
      <c r="E37" s="43">
        <f t="shared" si="1"/>
        <v>0.12</v>
      </c>
      <c r="F37" s="43">
        <f t="shared" si="2"/>
        <v>90</v>
      </c>
      <c r="G37" s="43"/>
      <c r="H37" s="43"/>
      <c r="I37" s="14"/>
    </row>
    <row r="38" spans="1:9">
      <c r="A38" s="148">
        <f t="shared" si="5"/>
        <v>19127.546841032949</v>
      </c>
      <c r="B38" s="148">
        <f t="shared" si="3"/>
        <v>11237.91010235117</v>
      </c>
      <c r="C38" s="148">
        <f t="shared" si="0"/>
        <v>7889.6367386817783</v>
      </c>
      <c r="D38" s="148">
        <f t="shared" si="4"/>
        <v>1115901.3734964353</v>
      </c>
      <c r="E38" s="43">
        <f t="shared" si="1"/>
        <v>0.12</v>
      </c>
      <c r="F38" s="43">
        <f t="shared" si="2"/>
        <v>89</v>
      </c>
      <c r="G38" s="43"/>
      <c r="H38" s="43"/>
      <c r="I38" s="14"/>
    </row>
    <row r="39" spans="1:9">
      <c r="A39" s="148">
        <f t="shared" si="5"/>
        <v>19127.546841032949</v>
      </c>
      <c r="B39" s="148">
        <f t="shared" si="3"/>
        <v>11159.013734964354</v>
      </c>
      <c r="C39" s="148">
        <f t="shared" si="0"/>
        <v>7968.5331060685949</v>
      </c>
      <c r="D39" s="148">
        <f t="shared" si="4"/>
        <v>1107932.8403903667</v>
      </c>
      <c r="E39" s="43">
        <f t="shared" si="1"/>
        <v>0.12</v>
      </c>
      <c r="F39" s="43">
        <f t="shared" si="2"/>
        <v>88</v>
      </c>
      <c r="G39" s="43"/>
      <c r="H39" s="43"/>
      <c r="I39" s="14"/>
    </row>
    <row r="40" spans="1:9">
      <c r="A40" s="148">
        <f t="shared" si="5"/>
        <v>19127.546841032949</v>
      </c>
      <c r="B40" s="148">
        <f t="shared" si="3"/>
        <v>11079.328403903666</v>
      </c>
      <c r="C40" s="148">
        <f t="shared" si="0"/>
        <v>8048.2184371292824</v>
      </c>
      <c r="D40" s="148">
        <f t="shared" si="4"/>
        <v>1099884.6219532373</v>
      </c>
      <c r="E40" s="43">
        <f t="shared" si="1"/>
        <v>0.12</v>
      </c>
      <c r="F40" s="43">
        <f t="shared" si="2"/>
        <v>87</v>
      </c>
      <c r="G40" s="43"/>
      <c r="H40" s="43"/>
      <c r="I40" s="14"/>
    </row>
    <row r="41" spans="1:9">
      <c r="A41" s="148">
        <f t="shared" si="5"/>
        <v>19127.546841032949</v>
      </c>
      <c r="B41" s="148">
        <f t="shared" si="3"/>
        <v>10998.846219532374</v>
      </c>
      <c r="C41" s="148">
        <f t="shared" si="0"/>
        <v>8128.7006215005749</v>
      </c>
      <c r="D41" s="148">
        <f t="shared" si="4"/>
        <v>1091755.9213317367</v>
      </c>
      <c r="E41" s="43">
        <f t="shared" si="1"/>
        <v>0.12</v>
      </c>
      <c r="F41" s="43">
        <f t="shared" si="2"/>
        <v>86</v>
      </c>
      <c r="G41" s="43"/>
      <c r="H41" s="43"/>
      <c r="I41" s="14"/>
    </row>
    <row r="42" spans="1:9">
      <c r="A42" s="148">
        <f t="shared" si="5"/>
        <v>19127.546841032949</v>
      </c>
      <c r="B42" s="148">
        <f t="shared" si="3"/>
        <v>10917.559213317367</v>
      </c>
      <c r="C42" s="148">
        <f t="shared" si="0"/>
        <v>8209.9876277155818</v>
      </c>
      <c r="D42" s="148">
        <f t="shared" si="4"/>
        <v>1083545.9337040212</v>
      </c>
      <c r="E42" s="43">
        <f t="shared" si="1"/>
        <v>0.12</v>
      </c>
      <c r="F42" s="43">
        <f t="shared" si="2"/>
        <v>85</v>
      </c>
      <c r="G42" s="43"/>
      <c r="H42" s="43"/>
      <c r="I42" s="14"/>
    </row>
    <row r="43" spans="1:9">
      <c r="A43" s="148">
        <f t="shared" si="5"/>
        <v>19127.546841032949</v>
      </c>
      <c r="B43" s="148">
        <f t="shared" si="3"/>
        <v>10835.459337040211</v>
      </c>
      <c r="C43" s="148">
        <f t="shared" si="0"/>
        <v>8292.0875039927378</v>
      </c>
      <c r="D43" s="148">
        <f t="shared" si="4"/>
        <v>1075253.8462000284</v>
      </c>
      <c r="E43" s="43">
        <f t="shared" si="1"/>
        <v>0.12</v>
      </c>
      <c r="F43" s="43">
        <f t="shared" si="2"/>
        <v>84</v>
      </c>
      <c r="G43" s="43"/>
      <c r="H43" s="43"/>
      <c r="I43" s="14"/>
    </row>
    <row r="44" spans="1:9">
      <c r="A44" s="156"/>
      <c r="B44" s="156"/>
      <c r="C44" s="148"/>
      <c r="D44" s="156"/>
      <c r="E44" s="37"/>
      <c r="F44" s="37"/>
      <c r="G44" s="37"/>
      <c r="H44" s="37"/>
    </row>
    <row r="45" spans="1:9">
      <c r="A45" s="156">
        <f>SUM(A7:A44)</f>
        <v>707719.23311821849</v>
      </c>
      <c r="B45" s="156"/>
      <c r="C45" s="148"/>
      <c r="D45" s="156"/>
      <c r="E45" s="37"/>
      <c r="F45" s="37"/>
      <c r="G45" s="37"/>
      <c r="H45" s="37"/>
    </row>
    <row r="46" spans="1:9">
      <c r="E46" s="37"/>
      <c r="F46" s="37"/>
      <c r="G46" s="37"/>
      <c r="H46" s="37"/>
    </row>
    <row r="47" spans="1:9">
      <c r="A47" s="148">
        <f t="shared" ref="A47:A110" si="6">+A46</f>
        <v>0</v>
      </c>
      <c r="B47" s="148">
        <f t="shared" ref="B47:B110" si="7">+D46*E46/12</f>
        <v>0</v>
      </c>
      <c r="C47" s="148">
        <f t="shared" ref="C47:C110" si="8">+A47-B47</f>
        <v>0</v>
      </c>
      <c r="D47" s="148">
        <f t="shared" ref="D47:D110" si="9">+D46-C47</f>
        <v>0</v>
      </c>
      <c r="E47" s="43">
        <f t="shared" ref="E47:E110" si="10">+E46</f>
        <v>0</v>
      </c>
      <c r="F47" s="43">
        <f t="shared" ref="F47:F110" si="11">+F46-1</f>
        <v>-1</v>
      </c>
      <c r="G47" s="153"/>
      <c r="H47" s="153"/>
    </row>
    <row r="48" spans="1:9">
      <c r="A48" s="148">
        <f t="shared" si="6"/>
        <v>0</v>
      </c>
      <c r="B48" s="148">
        <f t="shared" si="7"/>
        <v>0</v>
      </c>
      <c r="C48" s="148">
        <f t="shared" si="8"/>
        <v>0</v>
      </c>
      <c r="D48" s="148">
        <f t="shared" si="9"/>
        <v>0</v>
      </c>
      <c r="E48" s="43">
        <f t="shared" si="10"/>
        <v>0</v>
      </c>
      <c r="F48" s="43">
        <f t="shared" si="11"/>
        <v>-2</v>
      </c>
      <c r="G48" s="153"/>
      <c r="H48" s="153"/>
    </row>
    <row r="49" spans="1:8">
      <c r="A49" s="148">
        <f t="shared" si="6"/>
        <v>0</v>
      </c>
      <c r="B49" s="148">
        <f t="shared" si="7"/>
        <v>0</v>
      </c>
      <c r="C49" s="148">
        <f t="shared" si="8"/>
        <v>0</v>
      </c>
      <c r="D49" s="148">
        <f t="shared" si="9"/>
        <v>0</v>
      </c>
      <c r="E49" s="43">
        <f t="shared" si="10"/>
        <v>0</v>
      </c>
      <c r="F49" s="43">
        <f t="shared" si="11"/>
        <v>-3</v>
      </c>
      <c r="G49" s="153"/>
      <c r="H49" s="153"/>
    </row>
    <row r="50" spans="1:8">
      <c r="A50" s="148">
        <f t="shared" si="6"/>
        <v>0</v>
      </c>
      <c r="B50" s="148">
        <f t="shared" si="7"/>
        <v>0</v>
      </c>
      <c r="C50" s="148">
        <f t="shared" si="8"/>
        <v>0</v>
      </c>
      <c r="D50" s="148">
        <f t="shared" si="9"/>
        <v>0</v>
      </c>
      <c r="E50" s="43">
        <f t="shared" si="10"/>
        <v>0</v>
      </c>
      <c r="F50" s="43">
        <f t="shared" si="11"/>
        <v>-4</v>
      </c>
      <c r="G50" s="153"/>
      <c r="H50" s="153"/>
    </row>
    <row r="51" spans="1:8">
      <c r="A51" s="148">
        <f t="shared" si="6"/>
        <v>0</v>
      </c>
      <c r="B51" s="148">
        <f t="shared" si="7"/>
        <v>0</v>
      </c>
      <c r="C51" s="148">
        <f t="shared" si="8"/>
        <v>0</v>
      </c>
      <c r="D51" s="148">
        <f t="shared" si="9"/>
        <v>0</v>
      </c>
      <c r="E51" s="43">
        <f t="shared" si="10"/>
        <v>0</v>
      </c>
      <c r="F51" s="43">
        <f t="shared" si="11"/>
        <v>-5</v>
      </c>
      <c r="G51" s="153"/>
      <c r="H51" s="153"/>
    </row>
    <row r="52" spans="1:8">
      <c r="A52" s="148">
        <f t="shared" si="6"/>
        <v>0</v>
      </c>
      <c r="B52" s="148">
        <f t="shared" si="7"/>
        <v>0</v>
      </c>
      <c r="C52" s="148">
        <f t="shared" si="8"/>
        <v>0</v>
      </c>
      <c r="D52" s="148">
        <f t="shared" si="9"/>
        <v>0</v>
      </c>
      <c r="E52" s="43">
        <f t="shared" si="10"/>
        <v>0</v>
      </c>
      <c r="F52" s="43">
        <f t="shared" si="11"/>
        <v>-6</v>
      </c>
      <c r="G52" s="153"/>
      <c r="H52" s="153"/>
    </row>
    <row r="53" spans="1:8">
      <c r="A53" s="148">
        <f t="shared" si="6"/>
        <v>0</v>
      </c>
      <c r="B53" s="148">
        <f t="shared" si="7"/>
        <v>0</v>
      </c>
      <c r="C53" s="148">
        <f t="shared" si="8"/>
        <v>0</v>
      </c>
      <c r="D53" s="148">
        <f t="shared" si="9"/>
        <v>0</v>
      </c>
      <c r="E53" s="43">
        <f t="shared" si="10"/>
        <v>0</v>
      </c>
      <c r="F53" s="43">
        <f t="shared" si="11"/>
        <v>-7</v>
      </c>
      <c r="G53" s="153"/>
      <c r="H53" s="153"/>
    </row>
    <row r="54" spans="1:8">
      <c r="A54" s="148">
        <f t="shared" si="6"/>
        <v>0</v>
      </c>
      <c r="B54" s="148">
        <f t="shared" si="7"/>
        <v>0</v>
      </c>
      <c r="C54" s="148">
        <f t="shared" si="8"/>
        <v>0</v>
      </c>
      <c r="D54" s="148">
        <f t="shared" si="9"/>
        <v>0</v>
      </c>
      <c r="E54" s="43">
        <f t="shared" si="10"/>
        <v>0</v>
      </c>
      <c r="F54" s="43">
        <f t="shared" si="11"/>
        <v>-8</v>
      </c>
      <c r="G54" s="153"/>
      <c r="H54" s="153"/>
    </row>
    <row r="55" spans="1:8">
      <c r="A55" s="148">
        <f t="shared" si="6"/>
        <v>0</v>
      </c>
      <c r="B55" s="148">
        <f t="shared" si="7"/>
        <v>0</v>
      </c>
      <c r="C55" s="148">
        <f t="shared" si="8"/>
        <v>0</v>
      </c>
      <c r="D55" s="148">
        <f t="shared" si="9"/>
        <v>0</v>
      </c>
      <c r="E55" s="43">
        <f t="shared" si="10"/>
        <v>0</v>
      </c>
      <c r="F55" s="43">
        <f t="shared" si="11"/>
        <v>-9</v>
      </c>
      <c r="G55" s="153"/>
      <c r="H55" s="153"/>
    </row>
    <row r="56" spans="1:8">
      <c r="A56" s="148">
        <f t="shared" si="6"/>
        <v>0</v>
      </c>
      <c r="B56" s="148">
        <f t="shared" si="7"/>
        <v>0</v>
      </c>
      <c r="C56" s="148">
        <f t="shared" si="8"/>
        <v>0</v>
      </c>
      <c r="D56" s="148">
        <f t="shared" si="9"/>
        <v>0</v>
      </c>
      <c r="E56" s="43">
        <f t="shared" si="10"/>
        <v>0</v>
      </c>
      <c r="F56" s="43">
        <f t="shared" si="11"/>
        <v>-10</v>
      </c>
      <c r="G56" s="153"/>
      <c r="H56" s="153"/>
    </row>
    <row r="57" spans="1:8">
      <c r="A57" s="148">
        <f t="shared" si="6"/>
        <v>0</v>
      </c>
      <c r="B57" s="148">
        <f t="shared" si="7"/>
        <v>0</v>
      </c>
      <c r="C57" s="148">
        <f t="shared" si="8"/>
        <v>0</v>
      </c>
      <c r="D57" s="148">
        <f t="shared" si="9"/>
        <v>0</v>
      </c>
      <c r="E57" s="43">
        <f t="shared" si="10"/>
        <v>0</v>
      </c>
      <c r="F57" s="43">
        <f t="shared" si="11"/>
        <v>-11</v>
      </c>
      <c r="G57" s="153"/>
      <c r="H57" s="153"/>
    </row>
    <row r="58" spans="1:8">
      <c r="A58" s="148">
        <f t="shared" si="6"/>
        <v>0</v>
      </c>
      <c r="B58" s="148">
        <f t="shared" si="7"/>
        <v>0</v>
      </c>
      <c r="C58" s="148">
        <f t="shared" si="8"/>
        <v>0</v>
      </c>
      <c r="D58" s="148">
        <f t="shared" si="9"/>
        <v>0</v>
      </c>
      <c r="E58" s="43">
        <f t="shared" si="10"/>
        <v>0</v>
      </c>
      <c r="F58" s="43">
        <f t="shared" si="11"/>
        <v>-12</v>
      </c>
      <c r="G58" s="153"/>
      <c r="H58" s="153"/>
    </row>
    <row r="59" spans="1:8">
      <c r="A59" s="148">
        <f t="shared" si="6"/>
        <v>0</v>
      </c>
      <c r="B59" s="148">
        <f t="shared" si="7"/>
        <v>0</v>
      </c>
      <c r="C59" s="148">
        <f t="shared" si="8"/>
        <v>0</v>
      </c>
      <c r="D59" s="148">
        <f t="shared" si="9"/>
        <v>0</v>
      </c>
      <c r="E59" s="43">
        <f t="shared" si="10"/>
        <v>0</v>
      </c>
      <c r="F59" s="43">
        <f t="shared" si="11"/>
        <v>-13</v>
      </c>
      <c r="G59" s="153"/>
      <c r="H59" s="153"/>
    </row>
    <row r="60" spans="1:8">
      <c r="A60" s="148">
        <f t="shared" si="6"/>
        <v>0</v>
      </c>
      <c r="B60" s="148">
        <f t="shared" si="7"/>
        <v>0</v>
      </c>
      <c r="C60" s="148">
        <f t="shared" si="8"/>
        <v>0</v>
      </c>
      <c r="D60" s="148">
        <f t="shared" si="9"/>
        <v>0</v>
      </c>
      <c r="E60" s="43">
        <f t="shared" si="10"/>
        <v>0</v>
      </c>
      <c r="F60" s="43">
        <f t="shared" si="11"/>
        <v>-14</v>
      </c>
      <c r="G60" s="153"/>
      <c r="H60" s="153"/>
    </row>
    <row r="61" spans="1:8">
      <c r="A61" s="148">
        <f t="shared" si="6"/>
        <v>0</v>
      </c>
      <c r="B61" s="148">
        <f t="shared" si="7"/>
        <v>0</v>
      </c>
      <c r="C61" s="148">
        <f t="shared" si="8"/>
        <v>0</v>
      </c>
      <c r="D61" s="148">
        <f t="shared" si="9"/>
        <v>0</v>
      </c>
      <c r="E61" s="43">
        <f t="shared" si="10"/>
        <v>0</v>
      </c>
      <c r="F61" s="43">
        <f t="shared" si="11"/>
        <v>-15</v>
      </c>
      <c r="G61" s="153"/>
      <c r="H61" s="153"/>
    </row>
    <row r="62" spans="1:8">
      <c r="A62" s="148">
        <f t="shared" si="6"/>
        <v>0</v>
      </c>
      <c r="B62" s="148">
        <f t="shared" si="7"/>
        <v>0</v>
      </c>
      <c r="C62" s="148">
        <f t="shared" si="8"/>
        <v>0</v>
      </c>
      <c r="D62" s="148">
        <f t="shared" si="9"/>
        <v>0</v>
      </c>
      <c r="E62" s="43">
        <f t="shared" si="10"/>
        <v>0</v>
      </c>
      <c r="F62" s="43">
        <f t="shared" si="11"/>
        <v>-16</v>
      </c>
      <c r="G62" s="153"/>
      <c r="H62" s="153"/>
    </row>
    <row r="63" spans="1:8">
      <c r="A63" s="148">
        <f t="shared" si="6"/>
        <v>0</v>
      </c>
      <c r="B63" s="148">
        <f t="shared" si="7"/>
        <v>0</v>
      </c>
      <c r="C63" s="148">
        <f t="shared" si="8"/>
        <v>0</v>
      </c>
      <c r="D63" s="148">
        <f t="shared" si="9"/>
        <v>0</v>
      </c>
      <c r="E63" s="43">
        <f t="shared" si="10"/>
        <v>0</v>
      </c>
      <c r="F63" s="43">
        <f t="shared" si="11"/>
        <v>-17</v>
      </c>
      <c r="G63" s="153"/>
      <c r="H63" s="153"/>
    </row>
    <row r="64" spans="1:8">
      <c r="A64" s="148">
        <f t="shared" si="6"/>
        <v>0</v>
      </c>
      <c r="B64" s="148">
        <f t="shared" si="7"/>
        <v>0</v>
      </c>
      <c r="C64" s="148">
        <f t="shared" si="8"/>
        <v>0</v>
      </c>
      <c r="D64" s="148">
        <f t="shared" si="9"/>
        <v>0</v>
      </c>
      <c r="E64" s="43">
        <f t="shared" si="10"/>
        <v>0</v>
      </c>
      <c r="F64" s="43">
        <f t="shared" si="11"/>
        <v>-18</v>
      </c>
      <c r="G64" s="153"/>
      <c r="H64" s="153"/>
    </row>
    <row r="65" spans="1:8">
      <c r="A65" s="148">
        <f t="shared" si="6"/>
        <v>0</v>
      </c>
      <c r="B65" s="148">
        <f t="shared" si="7"/>
        <v>0</v>
      </c>
      <c r="C65" s="148">
        <f t="shared" si="8"/>
        <v>0</v>
      </c>
      <c r="D65" s="148">
        <f t="shared" si="9"/>
        <v>0</v>
      </c>
      <c r="E65" s="43">
        <f t="shared" si="10"/>
        <v>0</v>
      </c>
      <c r="F65" s="43">
        <f t="shared" si="11"/>
        <v>-19</v>
      </c>
      <c r="G65" s="153"/>
      <c r="H65" s="153"/>
    </row>
    <row r="66" spans="1:8">
      <c r="A66" s="148">
        <f t="shared" si="6"/>
        <v>0</v>
      </c>
      <c r="B66" s="148">
        <f t="shared" si="7"/>
        <v>0</v>
      </c>
      <c r="C66" s="148">
        <f t="shared" si="8"/>
        <v>0</v>
      </c>
      <c r="D66" s="148">
        <f t="shared" si="9"/>
        <v>0</v>
      </c>
      <c r="E66" s="43">
        <f t="shared" si="10"/>
        <v>0</v>
      </c>
      <c r="F66" s="43">
        <f t="shared" si="11"/>
        <v>-20</v>
      </c>
      <c r="G66" s="153"/>
      <c r="H66" s="153"/>
    </row>
    <row r="67" spans="1:8">
      <c r="A67" s="148">
        <f t="shared" si="6"/>
        <v>0</v>
      </c>
      <c r="B67" s="148">
        <f t="shared" si="7"/>
        <v>0</v>
      </c>
      <c r="C67" s="148">
        <f t="shared" si="8"/>
        <v>0</v>
      </c>
      <c r="D67" s="148">
        <f t="shared" si="9"/>
        <v>0</v>
      </c>
      <c r="E67" s="43">
        <f t="shared" si="10"/>
        <v>0</v>
      </c>
      <c r="F67" s="43">
        <f t="shared" si="11"/>
        <v>-21</v>
      </c>
      <c r="G67" s="153"/>
      <c r="H67" s="153"/>
    </row>
    <row r="68" spans="1:8">
      <c r="A68" s="148">
        <f t="shared" si="6"/>
        <v>0</v>
      </c>
      <c r="B68" s="148">
        <f t="shared" si="7"/>
        <v>0</v>
      </c>
      <c r="C68" s="148">
        <f t="shared" si="8"/>
        <v>0</v>
      </c>
      <c r="D68" s="148">
        <f t="shared" si="9"/>
        <v>0</v>
      </c>
      <c r="E68" s="43">
        <f t="shared" si="10"/>
        <v>0</v>
      </c>
      <c r="F68" s="43">
        <f t="shared" si="11"/>
        <v>-22</v>
      </c>
      <c r="G68" s="153"/>
      <c r="H68" s="153"/>
    </row>
    <row r="69" spans="1:8">
      <c r="A69" s="148">
        <f t="shared" si="6"/>
        <v>0</v>
      </c>
      <c r="B69" s="148">
        <f t="shared" si="7"/>
        <v>0</v>
      </c>
      <c r="C69" s="148">
        <f t="shared" si="8"/>
        <v>0</v>
      </c>
      <c r="D69" s="148">
        <f t="shared" si="9"/>
        <v>0</v>
      </c>
      <c r="E69" s="43">
        <f t="shared" si="10"/>
        <v>0</v>
      </c>
      <c r="F69" s="43">
        <f t="shared" si="11"/>
        <v>-23</v>
      </c>
      <c r="G69" s="153"/>
      <c r="H69" s="153"/>
    </row>
    <row r="70" spans="1:8">
      <c r="A70" s="148">
        <f t="shared" si="6"/>
        <v>0</v>
      </c>
      <c r="B70" s="148">
        <f t="shared" si="7"/>
        <v>0</v>
      </c>
      <c r="C70" s="148">
        <f t="shared" si="8"/>
        <v>0</v>
      </c>
      <c r="D70" s="148">
        <f t="shared" si="9"/>
        <v>0</v>
      </c>
      <c r="E70" s="43">
        <f t="shared" si="10"/>
        <v>0</v>
      </c>
      <c r="F70" s="43">
        <f t="shared" si="11"/>
        <v>-24</v>
      </c>
      <c r="G70" s="153"/>
      <c r="H70" s="153"/>
    </row>
    <row r="71" spans="1:8">
      <c r="A71" s="148">
        <f t="shared" si="6"/>
        <v>0</v>
      </c>
      <c r="B71" s="148">
        <f t="shared" si="7"/>
        <v>0</v>
      </c>
      <c r="C71" s="148">
        <f t="shared" si="8"/>
        <v>0</v>
      </c>
      <c r="D71" s="148">
        <f t="shared" si="9"/>
        <v>0</v>
      </c>
      <c r="E71" s="43">
        <f t="shared" si="10"/>
        <v>0</v>
      </c>
      <c r="F71" s="43">
        <f t="shared" si="11"/>
        <v>-25</v>
      </c>
      <c r="G71" s="153"/>
      <c r="H71" s="153"/>
    </row>
    <row r="72" spans="1:8">
      <c r="A72" s="148">
        <f t="shared" si="6"/>
        <v>0</v>
      </c>
      <c r="B72" s="148">
        <f t="shared" si="7"/>
        <v>0</v>
      </c>
      <c r="C72" s="148">
        <f t="shared" si="8"/>
        <v>0</v>
      </c>
      <c r="D72" s="148">
        <f t="shared" si="9"/>
        <v>0</v>
      </c>
      <c r="E72" s="43">
        <f t="shared" si="10"/>
        <v>0</v>
      </c>
      <c r="F72" s="43">
        <f t="shared" si="11"/>
        <v>-26</v>
      </c>
      <c r="G72" s="153"/>
      <c r="H72" s="153"/>
    </row>
    <row r="73" spans="1:8">
      <c r="A73" s="148">
        <f t="shared" si="6"/>
        <v>0</v>
      </c>
      <c r="B73" s="148">
        <f t="shared" si="7"/>
        <v>0</v>
      </c>
      <c r="C73" s="148">
        <f t="shared" si="8"/>
        <v>0</v>
      </c>
      <c r="D73" s="148">
        <f t="shared" si="9"/>
        <v>0</v>
      </c>
      <c r="E73" s="43">
        <f t="shared" si="10"/>
        <v>0</v>
      </c>
      <c r="F73" s="43">
        <f t="shared" si="11"/>
        <v>-27</v>
      </c>
      <c r="G73" s="153"/>
      <c r="H73" s="153"/>
    </row>
    <row r="74" spans="1:8">
      <c r="A74" s="148">
        <f t="shared" si="6"/>
        <v>0</v>
      </c>
      <c r="B74" s="148">
        <f t="shared" si="7"/>
        <v>0</v>
      </c>
      <c r="C74" s="148">
        <f t="shared" si="8"/>
        <v>0</v>
      </c>
      <c r="D74" s="148">
        <f t="shared" si="9"/>
        <v>0</v>
      </c>
      <c r="E74" s="43">
        <f t="shared" si="10"/>
        <v>0</v>
      </c>
      <c r="F74" s="43">
        <f t="shared" si="11"/>
        <v>-28</v>
      </c>
      <c r="G74" s="153"/>
      <c r="H74" s="153"/>
    </row>
    <row r="75" spans="1:8">
      <c r="A75" s="148">
        <f t="shared" si="6"/>
        <v>0</v>
      </c>
      <c r="B75" s="148">
        <f t="shared" si="7"/>
        <v>0</v>
      </c>
      <c r="C75" s="148">
        <f t="shared" si="8"/>
        <v>0</v>
      </c>
      <c r="D75" s="148">
        <f t="shared" si="9"/>
        <v>0</v>
      </c>
      <c r="E75" s="43">
        <f t="shared" si="10"/>
        <v>0</v>
      </c>
      <c r="F75" s="43">
        <f t="shared" si="11"/>
        <v>-29</v>
      </c>
      <c r="G75" s="153"/>
      <c r="H75" s="153"/>
    </row>
    <row r="76" spans="1:8">
      <c r="A76" s="148">
        <f t="shared" si="6"/>
        <v>0</v>
      </c>
      <c r="B76" s="148">
        <f t="shared" si="7"/>
        <v>0</v>
      </c>
      <c r="C76" s="148">
        <f t="shared" si="8"/>
        <v>0</v>
      </c>
      <c r="D76" s="148">
        <f t="shared" si="9"/>
        <v>0</v>
      </c>
      <c r="E76" s="43">
        <f t="shared" si="10"/>
        <v>0</v>
      </c>
      <c r="F76" s="43">
        <f t="shared" si="11"/>
        <v>-30</v>
      </c>
      <c r="G76" s="153"/>
      <c r="H76" s="153"/>
    </row>
    <row r="77" spans="1:8">
      <c r="A77" s="148">
        <f t="shared" si="6"/>
        <v>0</v>
      </c>
      <c r="B77" s="148">
        <f t="shared" si="7"/>
        <v>0</v>
      </c>
      <c r="C77" s="148">
        <f t="shared" si="8"/>
        <v>0</v>
      </c>
      <c r="D77" s="148">
        <f t="shared" si="9"/>
        <v>0</v>
      </c>
      <c r="E77" s="43">
        <f t="shared" si="10"/>
        <v>0</v>
      </c>
      <c r="F77" s="43">
        <f t="shared" si="11"/>
        <v>-31</v>
      </c>
      <c r="G77" s="153"/>
      <c r="H77" s="153"/>
    </row>
    <row r="78" spans="1:8">
      <c r="A78" s="148">
        <f t="shared" si="6"/>
        <v>0</v>
      </c>
      <c r="B78" s="148">
        <f t="shared" si="7"/>
        <v>0</v>
      </c>
      <c r="C78" s="148">
        <f t="shared" si="8"/>
        <v>0</v>
      </c>
      <c r="D78" s="148">
        <f t="shared" si="9"/>
        <v>0</v>
      </c>
      <c r="E78" s="43">
        <f t="shared" si="10"/>
        <v>0</v>
      </c>
      <c r="F78" s="43">
        <f t="shared" si="11"/>
        <v>-32</v>
      </c>
      <c r="G78" s="153"/>
      <c r="H78" s="153"/>
    </row>
    <row r="79" spans="1:8">
      <c r="A79" s="148">
        <f t="shared" si="6"/>
        <v>0</v>
      </c>
      <c r="B79" s="148">
        <f t="shared" si="7"/>
        <v>0</v>
      </c>
      <c r="C79" s="148">
        <f t="shared" si="8"/>
        <v>0</v>
      </c>
      <c r="D79" s="148">
        <f t="shared" si="9"/>
        <v>0</v>
      </c>
      <c r="E79" s="43">
        <f t="shared" si="10"/>
        <v>0</v>
      </c>
      <c r="F79" s="43">
        <f t="shared" si="11"/>
        <v>-33</v>
      </c>
      <c r="G79" s="153"/>
      <c r="H79" s="153"/>
    </row>
    <row r="80" spans="1:8">
      <c r="A80" s="148">
        <f t="shared" si="6"/>
        <v>0</v>
      </c>
      <c r="B80" s="148">
        <f t="shared" si="7"/>
        <v>0</v>
      </c>
      <c r="C80" s="148">
        <f t="shared" si="8"/>
        <v>0</v>
      </c>
      <c r="D80" s="148">
        <f t="shared" si="9"/>
        <v>0</v>
      </c>
      <c r="E80" s="43">
        <f t="shared" si="10"/>
        <v>0</v>
      </c>
      <c r="F80" s="43">
        <f t="shared" si="11"/>
        <v>-34</v>
      </c>
      <c r="G80" s="153"/>
      <c r="H80" s="153"/>
    </row>
    <row r="81" spans="1:8">
      <c r="A81" s="148">
        <f t="shared" si="6"/>
        <v>0</v>
      </c>
      <c r="B81" s="148">
        <f t="shared" si="7"/>
        <v>0</v>
      </c>
      <c r="C81" s="148">
        <f t="shared" si="8"/>
        <v>0</v>
      </c>
      <c r="D81" s="148">
        <f t="shared" si="9"/>
        <v>0</v>
      </c>
      <c r="E81" s="43">
        <f t="shared" si="10"/>
        <v>0</v>
      </c>
      <c r="F81" s="43">
        <f t="shared" si="11"/>
        <v>-35</v>
      </c>
      <c r="G81" s="153"/>
      <c r="H81" s="153"/>
    </row>
    <row r="82" spans="1:8">
      <c r="A82" s="148">
        <f t="shared" si="6"/>
        <v>0</v>
      </c>
      <c r="B82" s="148">
        <f t="shared" si="7"/>
        <v>0</v>
      </c>
      <c r="C82" s="148">
        <f t="shared" si="8"/>
        <v>0</v>
      </c>
      <c r="D82" s="148">
        <f t="shared" si="9"/>
        <v>0</v>
      </c>
      <c r="E82" s="43">
        <f t="shared" si="10"/>
        <v>0</v>
      </c>
      <c r="F82" s="43">
        <f t="shared" si="11"/>
        <v>-36</v>
      </c>
      <c r="G82" s="153"/>
      <c r="H82" s="153"/>
    </row>
    <row r="83" spans="1:8">
      <c r="A83" s="148">
        <f t="shared" si="6"/>
        <v>0</v>
      </c>
      <c r="B83" s="148">
        <f t="shared" si="7"/>
        <v>0</v>
      </c>
      <c r="C83" s="148">
        <f t="shared" si="8"/>
        <v>0</v>
      </c>
      <c r="D83" s="148">
        <f t="shared" si="9"/>
        <v>0</v>
      </c>
      <c r="E83" s="43">
        <f t="shared" si="10"/>
        <v>0</v>
      </c>
      <c r="F83" s="43">
        <f t="shared" si="11"/>
        <v>-37</v>
      </c>
      <c r="G83" s="153"/>
      <c r="H83" s="153"/>
    </row>
    <row r="84" spans="1:8">
      <c r="A84" s="148">
        <f t="shared" si="6"/>
        <v>0</v>
      </c>
      <c r="B84" s="148">
        <f t="shared" si="7"/>
        <v>0</v>
      </c>
      <c r="C84" s="148">
        <f t="shared" si="8"/>
        <v>0</v>
      </c>
      <c r="D84" s="148">
        <f t="shared" si="9"/>
        <v>0</v>
      </c>
      <c r="E84" s="43">
        <f t="shared" si="10"/>
        <v>0</v>
      </c>
      <c r="F84" s="43">
        <f t="shared" si="11"/>
        <v>-38</v>
      </c>
      <c r="G84" s="153"/>
      <c r="H84" s="153"/>
    </row>
    <row r="85" spans="1:8">
      <c r="A85" s="148">
        <f t="shared" si="6"/>
        <v>0</v>
      </c>
      <c r="B85" s="148">
        <f t="shared" si="7"/>
        <v>0</v>
      </c>
      <c r="C85" s="148">
        <f t="shared" si="8"/>
        <v>0</v>
      </c>
      <c r="D85" s="148">
        <f t="shared" si="9"/>
        <v>0</v>
      </c>
      <c r="E85" s="43">
        <f t="shared" si="10"/>
        <v>0</v>
      </c>
      <c r="F85" s="43">
        <f t="shared" si="11"/>
        <v>-39</v>
      </c>
      <c r="G85" s="153"/>
      <c r="H85" s="153"/>
    </row>
    <row r="86" spans="1:8">
      <c r="A86" s="148">
        <f t="shared" si="6"/>
        <v>0</v>
      </c>
      <c r="B86" s="148">
        <f t="shared" si="7"/>
        <v>0</v>
      </c>
      <c r="C86" s="148">
        <f t="shared" si="8"/>
        <v>0</v>
      </c>
      <c r="D86" s="148">
        <f t="shared" si="9"/>
        <v>0</v>
      </c>
      <c r="E86" s="43">
        <f t="shared" si="10"/>
        <v>0</v>
      </c>
      <c r="F86" s="43">
        <f t="shared" si="11"/>
        <v>-40</v>
      </c>
      <c r="G86" s="153"/>
      <c r="H86" s="153"/>
    </row>
    <row r="87" spans="1:8">
      <c r="A87" s="148">
        <f t="shared" si="6"/>
        <v>0</v>
      </c>
      <c r="B87" s="148">
        <f t="shared" si="7"/>
        <v>0</v>
      </c>
      <c r="C87" s="148">
        <f t="shared" si="8"/>
        <v>0</v>
      </c>
      <c r="D87" s="148">
        <f t="shared" si="9"/>
        <v>0</v>
      </c>
      <c r="E87" s="43">
        <f t="shared" si="10"/>
        <v>0</v>
      </c>
      <c r="F87" s="43">
        <f t="shared" si="11"/>
        <v>-41</v>
      </c>
      <c r="G87" s="153"/>
      <c r="H87" s="153"/>
    </row>
    <row r="88" spans="1:8">
      <c r="A88" s="148">
        <f t="shared" si="6"/>
        <v>0</v>
      </c>
      <c r="B88" s="148">
        <f t="shared" si="7"/>
        <v>0</v>
      </c>
      <c r="C88" s="148">
        <f t="shared" si="8"/>
        <v>0</v>
      </c>
      <c r="D88" s="148">
        <f t="shared" si="9"/>
        <v>0</v>
      </c>
      <c r="E88" s="43">
        <f t="shared" si="10"/>
        <v>0</v>
      </c>
      <c r="F88" s="43">
        <f t="shared" si="11"/>
        <v>-42</v>
      </c>
      <c r="G88" s="153"/>
      <c r="H88" s="153"/>
    </row>
    <row r="89" spans="1:8">
      <c r="A89" s="148">
        <f t="shared" si="6"/>
        <v>0</v>
      </c>
      <c r="B89" s="148">
        <f t="shared" si="7"/>
        <v>0</v>
      </c>
      <c r="C89" s="148">
        <f t="shared" si="8"/>
        <v>0</v>
      </c>
      <c r="D89" s="148">
        <f t="shared" si="9"/>
        <v>0</v>
      </c>
      <c r="E89" s="43">
        <f t="shared" si="10"/>
        <v>0</v>
      </c>
      <c r="F89" s="43">
        <f t="shared" si="11"/>
        <v>-43</v>
      </c>
      <c r="G89" s="153"/>
      <c r="H89" s="153"/>
    </row>
    <row r="90" spans="1:8">
      <c r="A90" s="148">
        <f t="shared" si="6"/>
        <v>0</v>
      </c>
      <c r="B90" s="148">
        <f t="shared" si="7"/>
        <v>0</v>
      </c>
      <c r="C90" s="148">
        <f t="shared" si="8"/>
        <v>0</v>
      </c>
      <c r="D90" s="148">
        <f t="shared" si="9"/>
        <v>0</v>
      </c>
      <c r="E90" s="43">
        <f t="shared" si="10"/>
        <v>0</v>
      </c>
      <c r="F90" s="43">
        <f t="shared" si="11"/>
        <v>-44</v>
      </c>
      <c r="G90" s="153"/>
      <c r="H90" s="153"/>
    </row>
    <row r="91" spans="1:8">
      <c r="A91" s="148">
        <f t="shared" si="6"/>
        <v>0</v>
      </c>
      <c r="B91" s="148">
        <f t="shared" si="7"/>
        <v>0</v>
      </c>
      <c r="C91" s="148">
        <f t="shared" si="8"/>
        <v>0</v>
      </c>
      <c r="D91" s="148">
        <f t="shared" si="9"/>
        <v>0</v>
      </c>
      <c r="E91" s="43">
        <f t="shared" si="10"/>
        <v>0</v>
      </c>
      <c r="F91" s="43">
        <f t="shared" si="11"/>
        <v>-45</v>
      </c>
      <c r="G91" s="153"/>
      <c r="H91" s="153"/>
    </row>
    <row r="92" spans="1:8">
      <c r="A92" s="148">
        <f t="shared" si="6"/>
        <v>0</v>
      </c>
      <c r="B92" s="148">
        <f t="shared" si="7"/>
        <v>0</v>
      </c>
      <c r="C92" s="148">
        <f t="shared" si="8"/>
        <v>0</v>
      </c>
      <c r="D92" s="148">
        <f t="shared" si="9"/>
        <v>0</v>
      </c>
      <c r="E92" s="43">
        <f t="shared" si="10"/>
        <v>0</v>
      </c>
      <c r="F92" s="43">
        <f t="shared" si="11"/>
        <v>-46</v>
      </c>
      <c r="G92" s="153"/>
      <c r="H92" s="153"/>
    </row>
    <row r="93" spans="1:8">
      <c r="A93" s="148">
        <f t="shared" si="6"/>
        <v>0</v>
      </c>
      <c r="B93" s="148">
        <f t="shared" si="7"/>
        <v>0</v>
      </c>
      <c r="C93" s="148">
        <f t="shared" si="8"/>
        <v>0</v>
      </c>
      <c r="D93" s="148">
        <f t="shared" si="9"/>
        <v>0</v>
      </c>
      <c r="E93" s="43">
        <f t="shared" si="10"/>
        <v>0</v>
      </c>
      <c r="F93" s="43">
        <f t="shared" si="11"/>
        <v>-47</v>
      </c>
      <c r="G93" s="153"/>
      <c r="H93" s="153"/>
    </row>
    <row r="94" spans="1:8">
      <c r="A94" s="148">
        <f t="shared" si="6"/>
        <v>0</v>
      </c>
      <c r="B94" s="148">
        <f t="shared" si="7"/>
        <v>0</v>
      </c>
      <c r="C94" s="148">
        <f t="shared" si="8"/>
        <v>0</v>
      </c>
      <c r="D94" s="148">
        <f t="shared" si="9"/>
        <v>0</v>
      </c>
      <c r="E94" s="43">
        <f t="shared" si="10"/>
        <v>0</v>
      </c>
      <c r="F94" s="43">
        <f t="shared" si="11"/>
        <v>-48</v>
      </c>
      <c r="G94" s="153"/>
      <c r="H94" s="153"/>
    </row>
    <row r="95" spans="1:8">
      <c r="A95" s="148">
        <f t="shared" si="6"/>
        <v>0</v>
      </c>
      <c r="B95" s="148">
        <f t="shared" si="7"/>
        <v>0</v>
      </c>
      <c r="C95" s="148">
        <f t="shared" si="8"/>
        <v>0</v>
      </c>
      <c r="D95" s="148">
        <f t="shared" si="9"/>
        <v>0</v>
      </c>
      <c r="E95" s="43">
        <f t="shared" si="10"/>
        <v>0</v>
      </c>
      <c r="F95" s="43">
        <f t="shared" si="11"/>
        <v>-49</v>
      </c>
      <c r="G95" s="153"/>
      <c r="H95" s="153"/>
    </row>
    <row r="96" spans="1:8">
      <c r="A96" s="148">
        <f t="shared" si="6"/>
        <v>0</v>
      </c>
      <c r="B96" s="148">
        <f t="shared" si="7"/>
        <v>0</v>
      </c>
      <c r="C96" s="148">
        <f t="shared" si="8"/>
        <v>0</v>
      </c>
      <c r="D96" s="148">
        <f t="shared" si="9"/>
        <v>0</v>
      </c>
      <c r="E96" s="43">
        <f t="shared" si="10"/>
        <v>0</v>
      </c>
      <c r="F96" s="43">
        <f t="shared" si="11"/>
        <v>-50</v>
      </c>
      <c r="G96" s="153"/>
      <c r="H96" s="153"/>
    </row>
    <row r="97" spans="1:8">
      <c r="A97" s="148">
        <f t="shared" si="6"/>
        <v>0</v>
      </c>
      <c r="B97" s="148">
        <f t="shared" si="7"/>
        <v>0</v>
      </c>
      <c r="C97" s="148">
        <f t="shared" si="8"/>
        <v>0</v>
      </c>
      <c r="D97" s="148">
        <f t="shared" si="9"/>
        <v>0</v>
      </c>
      <c r="E97" s="43">
        <f t="shared" si="10"/>
        <v>0</v>
      </c>
      <c r="F97" s="43">
        <f t="shared" si="11"/>
        <v>-51</v>
      </c>
      <c r="G97" s="153"/>
      <c r="H97" s="153"/>
    </row>
    <row r="98" spans="1:8">
      <c r="A98" s="148">
        <f t="shared" si="6"/>
        <v>0</v>
      </c>
      <c r="B98" s="148">
        <f t="shared" si="7"/>
        <v>0</v>
      </c>
      <c r="C98" s="148">
        <f t="shared" si="8"/>
        <v>0</v>
      </c>
      <c r="D98" s="148">
        <f t="shared" si="9"/>
        <v>0</v>
      </c>
      <c r="E98" s="43">
        <f t="shared" si="10"/>
        <v>0</v>
      </c>
      <c r="F98" s="43">
        <f t="shared" si="11"/>
        <v>-52</v>
      </c>
      <c r="G98" s="153"/>
      <c r="H98" s="153"/>
    </row>
    <row r="99" spans="1:8">
      <c r="A99" s="148">
        <f t="shared" si="6"/>
        <v>0</v>
      </c>
      <c r="B99" s="148">
        <f t="shared" si="7"/>
        <v>0</v>
      </c>
      <c r="C99" s="148">
        <f t="shared" si="8"/>
        <v>0</v>
      </c>
      <c r="D99" s="148">
        <f t="shared" si="9"/>
        <v>0</v>
      </c>
      <c r="E99" s="43">
        <f t="shared" si="10"/>
        <v>0</v>
      </c>
      <c r="F99" s="43">
        <f t="shared" si="11"/>
        <v>-53</v>
      </c>
      <c r="G99" s="153"/>
      <c r="H99" s="153"/>
    </row>
    <row r="100" spans="1:8">
      <c r="A100" s="148">
        <f t="shared" si="6"/>
        <v>0</v>
      </c>
      <c r="B100" s="148">
        <f t="shared" si="7"/>
        <v>0</v>
      </c>
      <c r="C100" s="148">
        <f t="shared" si="8"/>
        <v>0</v>
      </c>
      <c r="D100" s="148">
        <f t="shared" si="9"/>
        <v>0</v>
      </c>
      <c r="E100" s="43">
        <f t="shared" si="10"/>
        <v>0</v>
      </c>
      <c r="F100" s="43">
        <f t="shared" si="11"/>
        <v>-54</v>
      </c>
      <c r="G100" s="153"/>
      <c r="H100" s="153"/>
    </row>
    <row r="101" spans="1:8">
      <c r="A101" s="148">
        <f t="shared" si="6"/>
        <v>0</v>
      </c>
      <c r="B101" s="148">
        <f t="shared" si="7"/>
        <v>0</v>
      </c>
      <c r="C101" s="148">
        <f t="shared" si="8"/>
        <v>0</v>
      </c>
      <c r="D101" s="148">
        <f t="shared" si="9"/>
        <v>0</v>
      </c>
      <c r="E101" s="43">
        <f t="shared" si="10"/>
        <v>0</v>
      </c>
      <c r="F101" s="43">
        <f t="shared" si="11"/>
        <v>-55</v>
      </c>
      <c r="G101" s="153"/>
      <c r="H101" s="153"/>
    </row>
    <row r="102" spans="1:8">
      <c r="A102" s="148">
        <f t="shared" si="6"/>
        <v>0</v>
      </c>
      <c r="B102" s="148">
        <f t="shared" si="7"/>
        <v>0</v>
      </c>
      <c r="C102" s="148">
        <f t="shared" si="8"/>
        <v>0</v>
      </c>
      <c r="D102" s="148">
        <f t="shared" si="9"/>
        <v>0</v>
      </c>
      <c r="E102" s="43">
        <f t="shared" si="10"/>
        <v>0</v>
      </c>
      <c r="F102" s="43">
        <f t="shared" si="11"/>
        <v>-56</v>
      </c>
      <c r="G102" s="153"/>
      <c r="H102" s="153"/>
    </row>
    <row r="103" spans="1:8">
      <c r="A103" s="148">
        <f t="shared" si="6"/>
        <v>0</v>
      </c>
      <c r="B103" s="148">
        <f t="shared" si="7"/>
        <v>0</v>
      </c>
      <c r="C103" s="148">
        <f t="shared" si="8"/>
        <v>0</v>
      </c>
      <c r="D103" s="148">
        <f t="shared" si="9"/>
        <v>0</v>
      </c>
      <c r="E103" s="43">
        <f t="shared" si="10"/>
        <v>0</v>
      </c>
      <c r="F103" s="43">
        <f t="shared" si="11"/>
        <v>-57</v>
      </c>
      <c r="G103" s="153"/>
      <c r="H103" s="153"/>
    </row>
    <row r="104" spans="1:8">
      <c r="A104" s="148">
        <f t="shared" si="6"/>
        <v>0</v>
      </c>
      <c r="B104" s="148">
        <f t="shared" si="7"/>
        <v>0</v>
      </c>
      <c r="C104" s="148">
        <f t="shared" si="8"/>
        <v>0</v>
      </c>
      <c r="D104" s="148">
        <f t="shared" si="9"/>
        <v>0</v>
      </c>
      <c r="E104" s="43">
        <f t="shared" si="10"/>
        <v>0</v>
      </c>
      <c r="F104" s="43">
        <f t="shared" si="11"/>
        <v>-58</v>
      </c>
      <c r="G104" s="153"/>
      <c r="H104" s="153"/>
    </row>
    <row r="105" spans="1:8">
      <c r="A105" s="148">
        <f t="shared" si="6"/>
        <v>0</v>
      </c>
      <c r="B105" s="148">
        <f t="shared" si="7"/>
        <v>0</v>
      </c>
      <c r="C105" s="148">
        <f t="shared" si="8"/>
        <v>0</v>
      </c>
      <c r="D105" s="148">
        <f t="shared" si="9"/>
        <v>0</v>
      </c>
      <c r="E105" s="43">
        <f t="shared" si="10"/>
        <v>0</v>
      </c>
      <c r="F105" s="43">
        <f t="shared" si="11"/>
        <v>-59</v>
      </c>
      <c r="G105" s="153"/>
      <c r="H105" s="153"/>
    </row>
    <row r="106" spans="1:8">
      <c r="A106" s="148">
        <f t="shared" si="6"/>
        <v>0</v>
      </c>
      <c r="B106" s="148">
        <f t="shared" si="7"/>
        <v>0</v>
      </c>
      <c r="C106" s="148">
        <f t="shared" si="8"/>
        <v>0</v>
      </c>
      <c r="D106" s="148">
        <f t="shared" si="9"/>
        <v>0</v>
      </c>
      <c r="E106" s="43">
        <f t="shared" si="10"/>
        <v>0</v>
      </c>
      <c r="F106" s="43">
        <f t="shared" si="11"/>
        <v>-60</v>
      </c>
      <c r="G106" s="153"/>
      <c r="H106" s="153"/>
    </row>
    <row r="107" spans="1:8">
      <c r="A107" s="148">
        <f t="shared" si="6"/>
        <v>0</v>
      </c>
      <c r="B107" s="148">
        <f t="shared" si="7"/>
        <v>0</v>
      </c>
      <c r="C107" s="148">
        <f t="shared" si="8"/>
        <v>0</v>
      </c>
      <c r="D107" s="148">
        <f t="shared" si="9"/>
        <v>0</v>
      </c>
      <c r="E107" s="43">
        <f t="shared" si="10"/>
        <v>0</v>
      </c>
      <c r="F107" s="43">
        <f t="shared" si="11"/>
        <v>-61</v>
      </c>
      <c r="G107" s="153"/>
      <c r="H107" s="153"/>
    </row>
    <row r="108" spans="1:8">
      <c r="A108" s="148">
        <f t="shared" si="6"/>
        <v>0</v>
      </c>
      <c r="B108" s="148">
        <f t="shared" si="7"/>
        <v>0</v>
      </c>
      <c r="C108" s="148">
        <f t="shared" si="8"/>
        <v>0</v>
      </c>
      <c r="D108" s="148">
        <f t="shared" si="9"/>
        <v>0</v>
      </c>
      <c r="E108" s="43">
        <f t="shared" si="10"/>
        <v>0</v>
      </c>
      <c r="F108" s="43">
        <f t="shared" si="11"/>
        <v>-62</v>
      </c>
      <c r="G108" s="153"/>
      <c r="H108" s="153"/>
    </row>
    <row r="109" spans="1:8">
      <c r="A109" s="148">
        <f t="shared" si="6"/>
        <v>0</v>
      </c>
      <c r="B109" s="148">
        <f t="shared" si="7"/>
        <v>0</v>
      </c>
      <c r="C109" s="148">
        <f t="shared" si="8"/>
        <v>0</v>
      </c>
      <c r="D109" s="148">
        <f t="shared" si="9"/>
        <v>0</v>
      </c>
      <c r="E109" s="43">
        <f t="shared" si="10"/>
        <v>0</v>
      </c>
      <c r="F109" s="43">
        <f t="shared" si="11"/>
        <v>-63</v>
      </c>
      <c r="G109" s="153"/>
      <c r="H109" s="153"/>
    </row>
    <row r="110" spans="1:8">
      <c r="A110" s="148">
        <f t="shared" si="6"/>
        <v>0</v>
      </c>
      <c r="B110" s="148">
        <f t="shared" si="7"/>
        <v>0</v>
      </c>
      <c r="C110" s="148">
        <f t="shared" si="8"/>
        <v>0</v>
      </c>
      <c r="D110" s="148">
        <f t="shared" si="9"/>
        <v>0</v>
      </c>
      <c r="E110" s="43">
        <f t="shared" si="10"/>
        <v>0</v>
      </c>
      <c r="F110" s="43">
        <f t="shared" si="11"/>
        <v>-64</v>
      </c>
      <c r="G110" s="153"/>
      <c r="H110" s="153"/>
    </row>
    <row r="111" spans="1:8">
      <c r="A111" s="148">
        <f>+A110</f>
        <v>0</v>
      </c>
      <c r="B111" s="148">
        <f t="shared" ref="B111:B116" si="12">+D110*E110/12</f>
        <v>0</v>
      </c>
      <c r="C111" s="148">
        <f t="shared" ref="C111:C116" si="13">+A111-B111</f>
        <v>0</v>
      </c>
      <c r="D111" s="148">
        <f t="shared" ref="D111:D116" si="14">+D110-C111</f>
        <v>0</v>
      </c>
      <c r="E111" s="43">
        <f t="shared" ref="E111:E116" si="15">+E110</f>
        <v>0</v>
      </c>
      <c r="F111" s="43">
        <f t="shared" ref="F111:F116" si="16">+F110-1</f>
        <v>-65</v>
      </c>
      <c r="G111" s="153"/>
      <c r="H111" s="153"/>
    </row>
    <row r="112" spans="1:8">
      <c r="A112" s="148">
        <f>+A111</f>
        <v>0</v>
      </c>
      <c r="B112" s="148">
        <f t="shared" si="12"/>
        <v>0</v>
      </c>
      <c r="C112" s="148">
        <f t="shared" si="13"/>
        <v>0</v>
      </c>
      <c r="D112" s="148">
        <f t="shared" si="14"/>
        <v>0</v>
      </c>
      <c r="E112" s="43">
        <f t="shared" si="15"/>
        <v>0</v>
      </c>
      <c r="F112" s="43">
        <f t="shared" si="16"/>
        <v>-66</v>
      </c>
      <c r="G112" s="153"/>
      <c r="H112" s="153"/>
    </row>
    <row r="113" spans="1:8">
      <c r="A113" s="148">
        <f>+A112</f>
        <v>0</v>
      </c>
      <c r="B113" s="148">
        <f t="shared" si="12"/>
        <v>0</v>
      </c>
      <c r="C113" s="148">
        <f t="shared" si="13"/>
        <v>0</v>
      </c>
      <c r="D113" s="148">
        <f t="shared" si="14"/>
        <v>0</v>
      </c>
      <c r="E113" s="43">
        <f t="shared" si="15"/>
        <v>0</v>
      </c>
      <c r="F113" s="43">
        <f t="shared" si="16"/>
        <v>-67</v>
      </c>
      <c r="G113" s="153"/>
      <c r="H113" s="153"/>
    </row>
    <row r="114" spans="1:8">
      <c r="A114" s="148">
        <f>+A113</f>
        <v>0</v>
      </c>
      <c r="B114" s="148">
        <f t="shared" si="12"/>
        <v>0</v>
      </c>
      <c r="C114" s="148">
        <f t="shared" si="13"/>
        <v>0</v>
      </c>
      <c r="D114" s="148">
        <f t="shared" si="14"/>
        <v>0</v>
      </c>
      <c r="E114" s="43">
        <f t="shared" si="15"/>
        <v>0</v>
      </c>
      <c r="F114" s="43">
        <f t="shared" si="16"/>
        <v>-68</v>
      </c>
      <c r="G114" s="153"/>
      <c r="H114" s="153"/>
    </row>
    <row r="115" spans="1:8">
      <c r="A115" s="148">
        <f>+A114</f>
        <v>0</v>
      </c>
      <c r="B115" s="148">
        <f t="shared" si="12"/>
        <v>0</v>
      </c>
      <c r="C115" s="148">
        <f t="shared" si="13"/>
        <v>0</v>
      </c>
      <c r="D115" s="148">
        <f t="shared" si="14"/>
        <v>0</v>
      </c>
      <c r="E115" s="43">
        <f t="shared" si="15"/>
        <v>0</v>
      </c>
      <c r="F115" s="43">
        <f t="shared" si="16"/>
        <v>-69</v>
      </c>
      <c r="G115" s="153"/>
      <c r="H115" s="153"/>
    </row>
    <row r="116" spans="1:8">
      <c r="A116" s="148">
        <v>25053</v>
      </c>
      <c r="B116" s="148">
        <f t="shared" si="12"/>
        <v>0</v>
      </c>
      <c r="C116" s="148">
        <f t="shared" si="13"/>
        <v>25053</v>
      </c>
      <c r="D116" s="148">
        <f t="shared" si="14"/>
        <v>-25053</v>
      </c>
      <c r="E116" s="43">
        <f t="shared" si="15"/>
        <v>0</v>
      </c>
      <c r="F116" s="43">
        <f t="shared" si="16"/>
        <v>-70</v>
      </c>
      <c r="G116" s="153"/>
      <c r="H116" s="153"/>
    </row>
    <row r="117" spans="1:8">
      <c r="A117" s="148"/>
      <c r="B117" s="148"/>
      <c r="C117" s="148"/>
      <c r="D117" s="148"/>
      <c r="E117" s="43"/>
      <c r="F117" s="43"/>
      <c r="G117" s="153"/>
      <c r="H117" s="153"/>
    </row>
  </sheetData>
  <mergeCells count="1">
    <mergeCell ref="A1:F1"/>
  </mergeCells>
  <pageMargins left="0.7" right="0.7" top="0.75" bottom="0.75" header="0.3" footer="0.3"/>
  <pageSetup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9"/>
  <sheetViews>
    <sheetView topLeftCell="A34" zoomScaleNormal="100" workbookViewId="0">
      <selection activeCell="A52" sqref="A52"/>
    </sheetView>
  </sheetViews>
  <sheetFormatPr baseColWidth="10" defaultColWidth="8.7265625" defaultRowHeight="14.5"/>
  <cols>
    <col min="1" max="1" width="7.54296875" customWidth="1"/>
    <col min="2" max="2" width="12.54296875" style="2" customWidth="1"/>
    <col min="3" max="3" width="25.1796875" customWidth="1"/>
    <col min="4" max="4" width="11.81640625" customWidth="1"/>
    <col min="5" max="5" width="11.453125" customWidth="1"/>
    <col min="6" max="6" width="30.453125" customWidth="1"/>
    <col min="7" max="7" width="25.81640625" style="2" customWidth="1"/>
    <col min="8" max="8" width="15.1796875" customWidth="1"/>
    <col min="9" max="9" width="11.1796875" style="2" customWidth="1"/>
    <col min="10" max="10" width="14.81640625" customWidth="1"/>
  </cols>
  <sheetData>
    <row r="1" spans="1:8" ht="15.5">
      <c r="A1" s="209" t="s">
        <v>0</v>
      </c>
      <c r="B1" s="209"/>
      <c r="C1" s="209"/>
      <c r="D1" s="3"/>
      <c r="E1" s="4"/>
      <c r="F1" s="4"/>
      <c r="G1" s="5"/>
      <c r="H1" s="5"/>
    </row>
    <row r="2" spans="1:8" ht="15.5">
      <c r="A2" s="6" t="s">
        <v>1</v>
      </c>
      <c r="B2" s="7" t="s">
        <v>2</v>
      </c>
      <c r="C2" s="6" t="s">
        <v>3</v>
      </c>
      <c r="D2" s="3"/>
      <c r="E2" s="4"/>
      <c r="F2" s="4"/>
      <c r="G2" s="210" t="s">
        <v>4</v>
      </c>
      <c r="H2" s="210"/>
    </row>
    <row r="3" spans="1:8" ht="15.5">
      <c r="A3" s="8">
        <v>45078</v>
      </c>
      <c r="B3" s="9"/>
      <c r="C3" s="3" t="s">
        <v>416</v>
      </c>
      <c r="D3" s="3"/>
      <c r="E3" s="4"/>
      <c r="F3" s="4"/>
      <c r="G3" s="9" t="s">
        <v>6</v>
      </c>
      <c r="H3" s="9">
        <v>20000</v>
      </c>
    </row>
    <row r="4" spans="1:8" ht="15.5">
      <c r="A4" s="8">
        <v>45109</v>
      </c>
      <c r="B4" s="9">
        <f>+'Control Inversión'!E7</f>
        <v>0</v>
      </c>
      <c r="C4" s="3" t="s">
        <v>239</v>
      </c>
      <c r="D4" s="3"/>
      <c r="E4" s="4"/>
      <c r="F4" s="4"/>
      <c r="G4" s="9" t="s">
        <v>7</v>
      </c>
      <c r="H4" s="9">
        <v>30000</v>
      </c>
    </row>
    <row r="5" spans="1:8" ht="15.5">
      <c r="A5" s="8">
        <v>45109</v>
      </c>
      <c r="B5" s="2">
        <v>350</v>
      </c>
      <c r="C5" t="s">
        <v>240</v>
      </c>
      <c r="E5" s="4"/>
      <c r="F5" s="4"/>
      <c r="G5" s="9" t="s">
        <v>9</v>
      </c>
      <c r="H5" s="9">
        <v>40000</v>
      </c>
    </row>
    <row r="6" spans="1:8" ht="15.5">
      <c r="A6" s="8">
        <v>45109</v>
      </c>
      <c r="B6" s="9">
        <f>+'Control Inversión'!E8</f>
        <v>2287</v>
      </c>
      <c r="C6" s="3" t="s">
        <v>241</v>
      </c>
      <c r="D6" s="3"/>
      <c r="E6" s="4"/>
      <c r="F6" s="4"/>
      <c r="G6" s="9" t="s">
        <v>11</v>
      </c>
      <c r="H6" s="9">
        <v>5000</v>
      </c>
    </row>
    <row r="7" spans="1:8" ht="15.5">
      <c r="A7" s="8">
        <v>45109</v>
      </c>
      <c r="B7" s="9">
        <f>+'Control Inversión'!E9</f>
        <v>4375</v>
      </c>
      <c r="C7" s="3" t="s">
        <v>242</v>
      </c>
      <c r="D7" s="3"/>
      <c r="E7" s="4"/>
      <c r="F7" s="4"/>
      <c r="G7" s="9"/>
      <c r="H7" s="9"/>
    </row>
    <row r="8" spans="1:8" ht="15.5">
      <c r="A8" s="8">
        <v>45109</v>
      </c>
      <c r="B8" s="9">
        <v>350</v>
      </c>
      <c r="C8" s="3" t="s">
        <v>415</v>
      </c>
      <c r="D8" s="3"/>
      <c r="E8" s="4"/>
      <c r="F8" s="4"/>
      <c r="G8" s="9" t="s">
        <v>13</v>
      </c>
      <c r="H8" s="9">
        <v>3000</v>
      </c>
    </row>
    <row r="9" spans="1:8" ht="15.5">
      <c r="A9" s="8">
        <v>45109</v>
      </c>
      <c r="B9" s="9">
        <v>103000</v>
      </c>
      <c r="C9" s="3" t="s">
        <v>243</v>
      </c>
      <c r="D9" s="3"/>
      <c r="E9" s="4">
        <v>105000</v>
      </c>
      <c r="F9" s="4" t="s">
        <v>104</v>
      </c>
      <c r="G9" s="9" t="s">
        <v>15</v>
      </c>
      <c r="H9" s="9">
        <v>5000</v>
      </c>
    </row>
    <row r="10" spans="1:8" ht="15.5">
      <c r="A10" s="13">
        <v>45078</v>
      </c>
      <c r="B10" s="9">
        <v>10000</v>
      </c>
      <c r="C10" s="3" t="s">
        <v>244</v>
      </c>
      <c r="D10" s="10">
        <f>+B10+B9</f>
        <v>113000</v>
      </c>
      <c r="E10" s="4">
        <v>12000</v>
      </c>
      <c r="F10" s="4" t="s">
        <v>106</v>
      </c>
      <c r="G10" s="9" t="s">
        <v>18</v>
      </c>
      <c r="H10" s="9">
        <v>1500</v>
      </c>
    </row>
    <row r="11" spans="1:8" ht="15.5">
      <c r="A11" s="13">
        <v>45081</v>
      </c>
      <c r="B11" s="12">
        <v>-18000</v>
      </c>
      <c r="C11" s="14" t="s">
        <v>506</v>
      </c>
      <c r="D11" s="22">
        <f t="shared" ref="D11:D25" si="0">+D10+B11</f>
        <v>95000</v>
      </c>
      <c r="E11" s="4">
        <v>8000</v>
      </c>
      <c r="F11" s="4" t="s">
        <v>106</v>
      </c>
      <c r="G11" s="9" t="s">
        <v>19</v>
      </c>
      <c r="H11" s="9">
        <v>10000</v>
      </c>
    </row>
    <row r="12" spans="1:8" ht="15.5">
      <c r="A12" s="13">
        <v>45080</v>
      </c>
      <c r="B12" s="12">
        <v>-1500</v>
      </c>
      <c r="C12" s="14" t="s">
        <v>37</v>
      </c>
      <c r="D12" s="22">
        <f t="shared" si="0"/>
        <v>93500</v>
      </c>
      <c r="E12" s="4">
        <v>15000</v>
      </c>
      <c r="F12" s="4" t="s">
        <v>34</v>
      </c>
      <c r="G12" s="9" t="s">
        <v>21</v>
      </c>
      <c r="H12" s="9">
        <v>1500</v>
      </c>
    </row>
    <row r="13" spans="1:8" ht="15.5">
      <c r="A13" s="13">
        <v>45111</v>
      </c>
      <c r="B13" s="12">
        <v>-2800</v>
      </c>
      <c r="C13" s="14" t="s">
        <v>6</v>
      </c>
      <c r="D13" s="22">
        <f t="shared" si="0"/>
        <v>90700</v>
      </c>
      <c r="E13" s="4"/>
      <c r="F13" s="4"/>
      <c r="G13" s="9" t="s">
        <v>23</v>
      </c>
      <c r="H13" s="9">
        <v>25000</v>
      </c>
    </row>
    <row r="14" spans="1:8" ht="15.5">
      <c r="A14" s="13">
        <v>45111</v>
      </c>
      <c r="B14" s="2">
        <v>-1725</v>
      </c>
      <c r="C14" s="16" t="s">
        <v>38</v>
      </c>
      <c r="D14" s="22">
        <f t="shared" si="0"/>
        <v>88975</v>
      </c>
      <c r="E14" s="4"/>
      <c r="F14" s="4"/>
      <c r="G14" s="9" t="s">
        <v>25</v>
      </c>
      <c r="H14" s="9">
        <v>1500</v>
      </c>
    </row>
    <row r="15" spans="1:8" ht="15.5">
      <c r="A15" s="13">
        <v>45115</v>
      </c>
      <c r="B15" s="12">
        <v>-600</v>
      </c>
      <c r="C15" s="14" t="s">
        <v>507</v>
      </c>
      <c r="D15" s="22">
        <f t="shared" si="0"/>
        <v>88375</v>
      </c>
      <c r="E15" s="4"/>
      <c r="F15" s="4"/>
      <c r="G15" s="9"/>
      <c r="H15" s="9"/>
    </row>
    <row r="16" spans="1:8" ht="15.5">
      <c r="A16" s="13">
        <v>45117</v>
      </c>
      <c r="B16" s="12">
        <v>-17843</v>
      </c>
      <c r="C16" s="14" t="s">
        <v>508</v>
      </c>
      <c r="D16" s="22">
        <f t="shared" si="0"/>
        <v>70532</v>
      </c>
      <c r="E16" s="4">
        <f>SUM(E9:E15)</f>
        <v>140000</v>
      </c>
      <c r="F16" s="4"/>
      <c r="G16" s="9"/>
      <c r="H16" s="9"/>
    </row>
    <row r="17" spans="1:8" ht="15.5">
      <c r="A17" s="8">
        <v>45116</v>
      </c>
      <c r="B17" s="12">
        <v>-2800</v>
      </c>
      <c r="C17" s="14" t="s">
        <v>6</v>
      </c>
      <c r="D17" s="22">
        <f t="shared" si="0"/>
        <v>67732</v>
      </c>
      <c r="E17" s="4"/>
      <c r="F17" s="4"/>
      <c r="G17" s="15" t="s">
        <v>27</v>
      </c>
      <c r="H17" s="15">
        <f>SUM(H3:H15)</f>
        <v>142500</v>
      </c>
    </row>
    <row r="18" spans="1:8" ht="15.5">
      <c r="A18" s="8">
        <v>45083</v>
      </c>
      <c r="B18" s="9">
        <v>-1450</v>
      </c>
      <c r="C18" s="3" t="s">
        <v>509</v>
      </c>
      <c r="D18" s="22">
        <f t="shared" si="0"/>
        <v>66282</v>
      </c>
      <c r="E18" s="4"/>
      <c r="F18" s="4"/>
      <c r="G18" s="5" t="s">
        <v>29</v>
      </c>
      <c r="H18" s="5">
        <f>+H17/54</f>
        <v>2638.8888888888887</v>
      </c>
    </row>
    <row r="19" spans="1:8" ht="15.5">
      <c r="A19" s="8">
        <v>45117</v>
      </c>
      <c r="B19" s="9">
        <v>-346</v>
      </c>
      <c r="C19" s="3" t="s">
        <v>510</v>
      </c>
      <c r="D19" s="22">
        <f t="shared" si="0"/>
        <v>65936</v>
      </c>
      <c r="E19" s="4"/>
      <c r="F19" s="4"/>
      <c r="G19" s="5"/>
      <c r="H19" s="5"/>
    </row>
    <row r="20" spans="1:8" ht="15.5">
      <c r="A20" s="8">
        <v>45117</v>
      </c>
      <c r="B20" s="9">
        <v>-4000</v>
      </c>
      <c r="C20" s="3" t="s">
        <v>511</v>
      </c>
      <c r="D20" s="22">
        <f t="shared" si="0"/>
        <v>61936</v>
      </c>
      <c r="E20" s="4"/>
      <c r="F20" s="4"/>
      <c r="G20" s="5"/>
      <c r="H20" s="5"/>
    </row>
    <row r="21" spans="1:8" ht="15.5">
      <c r="A21" s="8">
        <v>45120</v>
      </c>
      <c r="B21" s="9">
        <v>-2859</v>
      </c>
      <c r="C21" s="3" t="s">
        <v>37</v>
      </c>
      <c r="D21" s="22">
        <f t="shared" si="0"/>
        <v>59077</v>
      </c>
      <c r="E21" s="4"/>
      <c r="F21" s="4"/>
      <c r="G21" s="5" t="s">
        <v>77</v>
      </c>
      <c r="H21" s="5"/>
    </row>
    <row r="22" spans="1:8" ht="15.5">
      <c r="A22" s="8">
        <v>45119</v>
      </c>
      <c r="B22" s="9">
        <v>-789</v>
      </c>
      <c r="C22" s="3" t="s">
        <v>190</v>
      </c>
      <c r="D22" s="22">
        <f t="shared" si="0"/>
        <v>58288</v>
      </c>
      <c r="E22" s="4"/>
      <c r="F22" s="4"/>
      <c r="G22" s="5" t="s">
        <v>78</v>
      </c>
      <c r="H22" s="5">
        <f>1100*55</f>
        <v>60500</v>
      </c>
    </row>
    <row r="23" spans="1:8" ht="15.5">
      <c r="A23" s="8">
        <v>45123</v>
      </c>
      <c r="B23" s="9">
        <v>-3000</v>
      </c>
      <c r="C23" s="3" t="s">
        <v>6</v>
      </c>
      <c r="D23" s="22">
        <f t="shared" si="0"/>
        <v>55288</v>
      </c>
      <c r="E23" s="4"/>
      <c r="F23" s="4"/>
      <c r="G23" s="5" t="s">
        <v>79</v>
      </c>
      <c r="H23" s="5">
        <v>27000</v>
      </c>
    </row>
    <row r="24" spans="1:8" ht="15.5">
      <c r="A24" s="8">
        <v>45122</v>
      </c>
      <c r="B24" s="9">
        <v>-276</v>
      </c>
      <c r="C24" s="3" t="s">
        <v>512</v>
      </c>
      <c r="D24" s="22">
        <f t="shared" si="0"/>
        <v>55012</v>
      </c>
      <c r="E24" s="4"/>
      <c r="F24" s="4"/>
      <c r="G24" s="5"/>
      <c r="H24" s="5"/>
    </row>
    <row r="25" spans="1:8" ht="15.5">
      <c r="A25" s="20">
        <v>45122</v>
      </c>
      <c r="B25" s="2">
        <v>-315</v>
      </c>
      <c r="C25" s="18" t="s">
        <v>37</v>
      </c>
      <c r="D25" s="22">
        <f t="shared" si="0"/>
        <v>54697</v>
      </c>
      <c r="E25" s="4"/>
      <c r="F25" s="4"/>
      <c r="G25" s="5" t="s">
        <v>27</v>
      </c>
      <c r="H25" s="17">
        <f>SUM(H22:H24)</f>
        <v>87500</v>
      </c>
    </row>
    <row r="26" spans="1:8" ht="15.5">
      <c r="A26" s="8">
        <v>45123</v>
      </c>
      <c r="B26" s="9">
        <v>-4970</v>
      </c>
      <c r="C26" s="3" t="s">
        <v>513</v>
      </c>
      <c r="D26" s="22">
        <f>+D24+B26</f>
        <v>50042</v>
      </c>
      <c r="E26" s="4"/>
      <c r="F26" s="4"/>
      <c r="G26" s="5"/>
      <c r="H26" s="4"/>
    </row>
    <row r="27" spans="1:8" ht="15.5">
      <c r="A27" s="8">
        <v>45123</v>
      </c>
      <c r="B27" s="9">
        <v>-1500</v>
      </c>
      <c r="C27" s="3" t="s">
        <v>74</v>
      </c>
      <c r="D27" s="22">
        <f t="shared" ref="D27:D51" si="1">+D26+B27</f>
        <v>48542</v>
      </c>
      <c r="E27" s="4"/>
      <c r="F27" s="4"/>
      <c r="G27" s="5"/>
      <c r="H27" s="4"/>
    </row>
    <row r="28" spans="1:8" ht="15.5">
      <c r="A28" s="8">
        <v>45125</v>
      </c>
      <c r="B28" s="9">
        <v>-10000</v>
      </c>
      <c r="C28" s="3" t="s">
        <v>514</v>
      </c>
      <c r="D28" s="22">
        <f t="shared" si="1"/>
        <v>38542</v>
      </c>
      <c r="E28" s="4"/>
      <c r="F28" s="4"/>
      <c r="G28" s="5"/>
      <c r="H28" s="4"/>
    </row>
    <row r="29" spans="1:8" ht="15.5">
      <c r="A29" s="8">
        <v>45124</v>
      </c>
      <c r="B29" s="9">
        <v>-700</v>
      </c>
      <c r="C29" s="3" t="s">
        <v>223</v>
      </c>
      <c r="D29" s="22">
        <f t="shared" si="1"/>
        <v>37842</v>
      </c>
      <c r="E29" s="4"/>
      <c r="F29" s="4"/>
      <c r="G29" s="5"/>
      <c r="H29" s="5"/>
    </row>
    <row r="30" spans="1:8" ht="15.5">
      <c r="A30" s="8">
        <v>45126</v>
      </c>
      <c r="B30" s="9">
        <v>-7000</v>
      </c>
      <c r="C30" s="3" t="s">
        <v>515</v>
      </c>
      <c r="D30" s="22">
        <f t="shared" si="1"/>
        <v>30842</v>
      </c>
      <c r="E30" s="4"/>
      <c r="F30" s="4"/>
      <c r="G30" s="5"/>
      <c r="H30" s="5"/>
    </row>
    <row r="31" spans="1:8" ht="15.5">
      <c r="A31" s="8">
        <v>45127</v>
      </c>
      <c r="B31" s="9">
        <v>-2000</v>
      </c>
      <c r="C31" s="3" t="s">
        <v>516</v>
      </c>
      <c r="D31" s="22">
        <f t="shared" si="1"/>
        <v>28842</v>
      </c>
      <c r="E31" s="4"/>
      <c r="F31" s="4"/>
      <c r="G31" s="5"/>
      <c r="H31" s="5"/>
    </row>
    <row r="32" spans="1:8" ht="15.5">
      <c r="A32" s="8">
        <v>45126</v>
      </c>
      <c r="B32" s="9">
        <v>-1900</v>
      </c>
      <c r="C32" s="3" t="s">
        <v>517</v>
      </c>
      <c r="D32" s="22">
        <f t="shared" si="1"/>
        <v>26942</v>
      </c>
      <c r="E32" s="4"/>
      <c r="F32" s="17"/>
      <c r="G32" s="5"/>
      <c r="H32" s="5"/>
    </row>
    <row r="33" spans="1:10" ht="15.5">
      <c r="A33" s="8">
        <v>45122</v>
      </c>
      <c r="B33" s="9">
        <v>-500</v>
      </c>
      <c r="C33" s="3" t="s">
        <v>518</v>
      </c>
      <c r="D33" s="22">
        <f t="shared" si="1"/>
        <v>26442</v>
      </c>
      <c r="E33" s="4"/>
      <c r="F33" s="4"/>
      <c r="G33" s="5"/>
      <c r="H33" s="5"/>
    </row>
    <row r="34" spans="1:10" ht="15.5">
      <c r="A34" s="8">
        <v>45128</v>
      </c>
      <c r="B34" s="9">
        <v>-800</v>
      </c>
      <c r="C34" s="3" t="s">
        <v>501</v>
      </c>
      <c r="D34" s="22">
        <f t="shared" si="1"/>
        <v>25642</v>
      </c>
      <c r="E34" s="4"/>
      <c r="F34" s="4"/>
      <c r="G34" s="5"/>
      <c r="H34" s="5"/>
    </row>
    <row r="35" spans="1:10" ht="15.5">
      <c r="A35" s="8">
        <v>45129</v>
      </c>
      <c r="B35" s="9">
        <v>-5030</v>
      </c>
      <c r="C35" s="3" t="s">
        <v>37</v>
      </c>
      <c r="D35" s="22">
        <f t="shared" si="1"/>
        <v>20612</v>
      </c>
      <c r="E35" s="4"/>
      <c r="F35" s="4"/>
      <c r="G35" s="5"/>
      <c r="H35" s="5"/>
    </row>
    <row r="36" spans="1:10" ht="15.5">
      <c r="A36" s="8">
        <v>45129</v>
      </c>
      <c r="B36" s="9">
        <v>-1200</v>
      </c>
      <c r="C36" s="3" t="s">
        <v>432</v>
      </c>
      <c r="D36" s="22">
        <f t="shared" si="1"/>
        <v>19412</v>
      </c>
      <c r="E36" s="4"/>
      <c r="F36" s="4"/>
      <c r="G36" s="5"/>
      <c r="H36" s="5"/>
    </row>
    <row r="37" spans="1:10" ht="15.5">
      <c r="A37" s="8">
        <v>45135</v>
      </c>
      <c r="B37" s="9">
        <v>-2500</v>
      </c>
      <c r="C37" s="3" t="s">
        <v>519</v>
      </c>
      <c r="D37" s="22">
        <f t="shared" si="1"/>
        <v>16912</v>
      </c>
      <c r="E37" s="4"/>
      <c r="F37" s="4"/>
      <c r="G37" s="5"/>
      <c r="H37" s="5"/>
    </row>
    <row r="38" spans="1:10" ht="15.5">
      <c r="A38" s="8">
        <v>45136</v>
      </c>
      <c r="B38" s="9">
        <v>-1600</v>
      </c>
      <c r="C38" s="3" t="s">
        <v>520</v>
      </c>
      <c r="D38" s="22">
        <f t="shared" si="1"/>
        <v>15312</v>
      </c>
      <c r="E38" s="4"/>
      <c r="F38" s="4"/>
      <c r="G38" s="5"/>
      <c r="H38" s="5"/>
    </row>
    <row r="39" spans="1:10" ht="15.5">
      <c r="A39" s="8">
        <v>45134</v>
      </c>
      <c r="B39" s="9">
        <v>-3200</v>
      </c>
      <c r="C39" s="3" t="s">
        <v>6</v>
      </c>
      <c r="D39" s="22">
        <f t="shared" si="1"/>
        <v>12112</v>
      </c>
      <c r="E39" s="4"/>
      <c r="F39" s="4"/>
      <c r="G39" s="5"/>
      <c r="H39" s="5"/>
      <c r="J39" s="2"/>
    </row>
    <row r="40" spans="1:10" ht="15.5">
      <c r="A40" s="8">
        <v>45135</v>
      </c>
      <c r="B40" s="9">
        <v>-400</v>
      </c>
      <c r="C40" s="3" t="s">
        <v>521</v>
      </c>
      <c r="D40" s="22">
        <f t="shared" si="1"/>
        <v>11712</v>
      </c>
      <c r="E40" s="4"/>
      <c r="F40" s="4"/>
      <c r="G40" s="5"/>
      <c r="H40" s="5"/>
    </row>
    <row r="41" spans="1:10" ht="15.5">
      <c r="A41" s="8">
        <v>45138</v>
      </c>
      <c r="B41" s="9">
        <v>-24000</v>
      </c>
      <c r="C41" s="3" t="s">
        <v>522</v>
      </c>
      <c r="D41" s="22">
        <f t="shared" si="1"/>
        <v>-12288</v>
      </c>
      <c r="E41" s="4"/>
      <c r="F41" s="4"/>
      <c r="G41" s="5"/>
      <c r="H41" s="5"/>
    </row>
    <row r="42" spans="1:10" ht="15.5">
      <c r="A42" s="8">
        <v>45139</v>
      </c>
      <c r="B42" s="9">
        <v>-10000</v>
      </c>
      <c r="C42" s="3" t="s">
        <v>82</v>
      </c>
      <c r="D42" s="22">
        <f t="shared" si="1"/>
        <v>-22288</v>
      </c>
      <c r="E42" s="4"/>
      <c r="F42" s="4"/>
      <c r="G42" s="5"/>
      <c r="H42" s="5"/>
      <c r="J42" s="11"/>
    </row>
    <row r="43" spans="1:10" ht="15.5">
      <c r="A43" s="8">
        <v>45138</v>
      </c>
      <c r="B43" s="9">
        <v>-2000</v>
      </c>
      <c r="C43" s="3" t="s">
        <v>523</v>
      </c>
      <c r="D43" s="22">
        <f t="shared" si="1"/>
        <v>-24288</v>
      </c>
      <c r="E43" s="4"/>
      <c r="F43" s="4"/>
      <c r="G43" s="5"/>
      <c r="H43" s="5"/>
    </row>
    <row r="44" spans="1:10" ht="15.5">
      <c r="A44" s="8">
        <v>45138</v>
      </c>
      <c r="B44" s="9">
        <v>-3500</v>
      </c>
      <c r="C44" s="3" t="s">
        <v>13</v>
      </c>
      <c r="D44" s="22">
        <f t="shared" si="1"/>
        <v>-27788</v>
      </c>
      <c r="E44" s="4"/>
      <c r="F44" s="4"/>
      <c r="G44" s="5"/>
      <c r="H44" s="5"/>
    </row>
    <row r="45" spans="1:10" ht="15.5">
      <c r="A45" s="8">
        <v>45133</v>
      </c>
      <c r="B45" s="9">
        <v>-2400</v>
      </c>
      <c r="C45" s="3" t="s">
        <v>524</v>
      </c>
      <c r="D45" s="22">
        <f t="shared" si="1"/>
        <v>-30188</v>
      </c>
      <c r="E45" s="4"/>
      <c r="F45" s="4"/>
      <c r="G45" s="5"/>
      <c r="H45" s="5"/>
    </row>
    <row r="46" spans="1:10" ht="15.5">
      <c r="A46" s="8">
        <v>45138</v>
      </c>
      <c r="B46" s="9">
        <v>-1185</v>
      </c>
      <c r="C46" s="3" t="s">
        <v>37</v>
      </c>
      <c r="D46" s="22">
        <f t="shared" si="1"/>
        <v>-31373</v>
      </c>
      <c r="E46" s="4"/>
      <c r="F46" s="17"/>
      <c r="G46" s="5"/>
      <c r="H46" s="5"/>
    </row>
    <row r="47" spans="1:10" ht="15.5">
      <c r="A47" s="8">
        <v>45132</v>
      </c>
      <c r="B47" s="9">
        <v>-2790</v>
      </c>
      <c r="C47" s="3" t="s">
        <v>6</v>
      </c>
      <c r="D47" s="22">
        <f t="shared" si="1"/>
        <v>-34163</v>
      </c>
      <c r="E47" s="4"/>
      <c r="F47" s="4"/>
      <c r="G47" s="5"/>
      <c r="H47" s="5"/>
    </row>
    <row r="48" spans="1:10" ht="15.5">
      <c r="A48" s="8">
        <v>45122</v>
      </c>
      <c r="B48" s="9">
        <v>-1522</v>
      </c>
      <c r="C48" s="3" t="s">
        <v>37</v>
      </c>
      <c r="D48" s="22">
        <f t="shared" si="1"/>
        <v>-35685</v>
      </c>
      <c r="E48" s="4"/>
      <c r="F48" s="4"/>
      <c r="G48" s="5"/>
      <c r="H48" s="5"/>
    </row>
    <row r="49" spans="1:10" ht="15.5">
      <c r="A49" s="8">
        <v>45124</v>
      </c>
      <c r="B49" s="9">
        <v>-2900</v>
      </c>
      <c r="C49" s="3" t="s">
        <v>6</v>
      </c>
      <c r="D49" s="22">
        <f t="shared" si="1"/>
        <v>-38585</v>
      </c>
      <c r="E49" s="4"/>
      <c r="F49" s="4"/>
      <c r="G49" s="5"/>
      <c r="H49" s="5"/>
    </row>
    <row r="50" spans="1:10" ht="15.5">
      <c r="A50" s="8">
        <v>45124</v>
      </c>
      <c r="B50" s="9">
        <v>-355</v>
      </c>
      <c r="C50" s="3" t="s">
        <v>9</v>
      </c>
      <c r="D50" s="22">
        <f t="shared" si="1"/>
        <v>-38940</v>
      </c>
      <c r="E50" s="4"/>
      <c r="F50" s="4"/>
      <c r="G50" s="5"/>
      <c r="H50" s="5"/>
    </row>
    <row r="51" spans="1:10" ht="15.5">
      <c r="A51" s="8">
        <v>45138</v>
      </c>
      <c r="B51" s="9">
        <v>-10000</v>
      </c>
      <c r="C51" s="3" t="s">
        <v>504</v>
      </c>
      <c r="D51" s="22">
        <f t="shared" si="1"/>
        <v>-48940</v>
      </c>
      <c r="E51" s="4"/>
      <c r="F51" s="4"/>
      <c r="G51" s="5"/>
      <c r="H51" s="5"/>
      <c r="J51" s="11">
        <v>284865</v>
      </c>
    </row>
    <row r="52" spans="1:10" ht="15.5">
      <c r="A52" s="8"/>
      <c r="B52" s="9"/>
      <c r="C52" s="3"/>
      <c r="D52" s="22"/>
      <c r="E52" s="4"/>
      <c r="F52" s="4" t="s">
        <v>39</v>
      </c>
      <c r="G52" s="2">
        <v>385000</v>
      </c>
      <c r="H52" s="5"/>
    </row>
    <row r="53" spans="1:10" ht="15.5">
      <c r="A53" s="8"/>
      <c r="B53" s="9"/>
      <c r="C53" s="3"/>
      <c r="D53" s="22"/>
      <c r="E53" s="4"/>
      <c r="F53" s="4" t="s">
        <v>41</v>
      </c>
      <c r="G53" s="2">
        <v>-3133.64</v>
      </c>
      <c r="H53" s="5"/>
    </row>
    <row r="54" spans="1:10" ht="15.5">
      <c r="A54" s="8"/>
      <c r="B54" s="9"/>
      <c r="C54" s="3"/>
      <c r="D54" s="22"/>
      <c r="E54" s="4"/>
      <c r="F54" s="19" t="s">
        <v>43</v>
      </c>
      <c r="G54" s="2">
        <v>-368.66</v>
      </c>
      <c r="H54" s="5"/>
    </row>
    <row r="55" spans="1:10" ht="15.5">
      <c r="A55" s="8"/>
      <c r="B55" s="9"/>
      <c r="C55" s="3"/>
      <c r="D55" s="22"/>
      <c r="E55" s="4"/>
      <c r="F55" s="4" t="s">
        <v>44</v>
      </c>
      <c r="G55" s="2">
        <v>-1163.1300000000001</v>
      </c>
      <c r="H55" s="5"/>
    </row>
    <row r="56" spans="1:10" ht="15.5">
      <c r="A56" s="8"/>
      <c r="B56" s="9"/>
      <c r="C56" s="3"/>
      <c r="D56" s="22"/>
      <c r="E56" s="4"/>
      <c r="F56" s="4" t="s">
        <v>45</v>
      </c>
      <c r="G56" s="2">
        <v>-553</v>
      </c>
      <c r="H56" s="5"/>
    </row>
    <row r="57" spans="1:10" ht="15.5">
      <c r="A57" s="8"/>
      <c r="B57" s="9"/>
      <c r="C57" s="3"/>
      <c r="D57" s="22"/>
      <c r="E57" s="4"/>
      <c r="F57" s="4" t="s">
        <v>46</v>
      </c>
      <c r="G57" s="2">
        <v>-553</v>
      </c>
      <c r="H57" s="5"/>
    </row>
    <row r="58" spans="1:10" ht="15.5">
      <c r="A58" s="8"/>
      <c r="B58" s="9"/>
      <c r="C58" s="3"/>
      <c r="D58" s="22"/>
      <c r="E58" s="4"/>
      <c r="F58" s="4" t="s">
        <v>47</v>
      </c>
      <c r="G58" s="2">
        <v>-553</v>
      </c>
      <c r="H58" s="5"/>
    </row>
    <row r="59" spans="1:10" ht="15.5">
      <c r="A59" s="8"/>
      <c r="B59" s="9"/>
      <c r="C59" s="3"/>
      <c r="D59" s="22"/>
      <c r="E59" s="4"/>
      <c r="H59" s="5"/>
    </row>
    <row r="60" spans="1:10" ht="15.5">
      <c r="A60" s="8"/>
      <c r="B60" s="9"/>
      <c r="C60" s="3"/>
      <c r="D60" s="22"/>
      <c r="E60" s="4"/>
      <c r="F60" s="4" t="s">
        <v>48</v>
      </c>
      <c r="G60" s="2">
        <f>SUM(G52:G58)</f>
        <v>378675.57</v>
      </c>
      <c r="H60" s="5"/>
    </row>
    <row r="61" spans="1:10" ht="15.5">
      <c r="A61" s="8"/>
      <c r="B61" s="9"/>
      <c r="C61" s="3"/>
      <c r="D61" s="22"/>
      <c r="E61" s="4"/>
      <c r="F61" s="4" t="s">
        <v>49</v>
      </c>
      <c r="G61" s="2">
        <f>+G60*0.25</f>
        <v>94668.892500000002</v>
      </c>
      <c r="H61" s="5"/>
    </row>
    <row r="62" spans="1:10" ht="15.5">
      <c r="A62" s="8"/>
      <c r="B62" s="9"/>
      <c r="C62" s="3"/>
      <c r="D62" s="22"/>
      <c r="E62" s="4"/>
      <c r="F62" s="4" t="s">
        <v>50</v>
      </c>
      <c r="G62" s="5">
        <v>-90000</v>
      </c>
      <c r="H62" s="5"/>
      <c r="J62" s="2"/>
    </row>
    <row r="63" spans="1:10" ht="15.5">
      <c r="A63" s="8"/>
      <c r="B63" s="9"/>
      <c r="C63" s="3"/>
      <c r="D63" s="22">
        <f>+D62+B63</f>
        <v>0</v>
      </c>
      <c r="E63" s="4"/>
      <c r="F63" s="4" t="s">
        <v>52</v>
      </c>
      <c r="G63" s="5">
        <f>SUM(G61:G62)</f>
        <v>4668.8925000000017</v>
      </c>
      <c r="H63" s="5"/>
    </row>
    <row r="64" spans="1:10" ht="15.5">
      <c r="A64" s="8"/>
      <c r="B64" s="9"/>
      <c r="C64" s="3"/>
      <c r="D64" s="22">
        <f>+D63+B64</f>
        <v>0</v>
      </c>
      <c r="E64" s="4"/>
      <c r="F64" s="4"/>
      <c r="G64" s="5"/>
      <c r="H64" s="5"/>
    </row>
    <row r="65" spans="1:10" ht="15.5">
      <c r="A65" s="8"/>
      <c r="B65" s="9"/>
      <c r="C65" s="3"/>
      <c r="D65" s="22">
        <f>+D64+B65</f>
        <v>0</v>
      </c>
      <c r="E65" s="4"/>
      <c r="F65" s="4"/>
      <c r="G65" s="5"/>
      <c r="H65" s="5"/>
      <c r="J65" s="11"/>
    </row>
    <row r="66" spans="1:10" ht="15.5">
      <c r="A66" s="8"/>
      <c r="B66" s="9"/>
      <c r="C66" s="3"/>
      <c r="D66" s="10"/>
      <c r="E66" s="4"/>
      <c r="F66" s="4"/>
      <c r="G66" s="5"/>
      <c r="H66" s="5"/>
    </row>
    <row r="67" spans="1:10" ht="15.5">
      <c r="A67" s="8"/>
      <c r="B67" s="9"/>
      <c r="C67" s="3"/>
      <c r="D67" s="10"/>
      <c r="E67" s="4"/>
      <c r="F67" s="4"/>
      <c r="G67" s="5"/>
      <c r="H67" s="5">
        <v>284865</v>
      </c>
    </row>
    <row r="68" spans="1:10" ht="15.5">
      <c r="A68" s="8"/>
      <c r="B68" s="9"/>
      <c r="C68" s="3"/>
      <c r="D68" s="10"/>
      <c r="E68" s="4"/>
      <c r="F68" s="4"/>
      <c r="G68" s="5"/>
      <c r="H68" s="5">
        <v>90000</v>
      </c>
    </row>
    <row r="69" spans="1:10" ht="15.5">
      <c r="A69" s="13">
        <v>45081</v>
      </c>
      <c r="B69" s="12"/>
      <c r="C69" s="14" t="s">
        <v>506</v>
      </c>
      <c r="D69" s="22">
        <f t="shared" ref="D69:D83" si="2">+D68+B69</f>
        <v>0</v>
      </c>
      <c r="E69" s="4"/>
      <c r="F69" s="17">
        <f>SUM(B29:B67)</f>
        <v>-87482</v>
      </c>
      <c r="G69" s="5"/>
      <c r="H69" s="5">
        <v>5000</v>
      </c>
    </row>
    <row r="70" spans="1:10" ht="15.5">
      <c r="A70" s="13">
        <v>45080</v>
      </c>
      <c r="B70" s="12">
        <v>-1500</v>
      </c>
      <c r="C70" s="14" t="s">
        <v>37</v>
      </c>
      <c r="D70" s="22">
        <f t="shared" si="2"/>
        <v>-1500</v>
      </c>
      <c r="E70" s="4"/>
      <c r="F70" s="4"/>
      <c r="G70" s="5"/>
      <c r="H70" s="5">
        <f>SUM(H67:H69)</f>
        <v>379865</v>
      </c>
    </row>
    <row r="71" spans="1:10" ht="15.5">
      <c r="A71" s="13">
        <v>45111</v>
      </c>
      <c r="B71" s="12">
        <v>-2800</v>
      </c>
      <c r="C71" s="14" t="s">
        <v>6</v>
      </c>
      <c r="D71" s="22">
        <f t="shared" si="2"/>
        <v>-4300</v>
      </c>
      <c r="E71" s="4"/>
      <c r="F71" s="4"/>
      <c r="G71" s="5"/>
      <c r="H71" s="5"/>
    </row>
    <row r="72" spans="1:10" ht="15.5">
      <c r="A72" s="13">
        <v>45111</v>
      </c>
      <c r="B72" s="2">
        <v>-1725</v>
      </c>
      <c r="C72" s="16" t="s">
        <v>38</v>
      </c>
      <c r="D72" s="22">
        <f t="shared" si="2"/>
        <v>-6025</v>
      </c>
      <c r="E72" s="4"/>
      <c r="F72" s="4"/>
      <c r="G72" s="5"/>
      <c r="H72" s="5"/>
    </row>
    <row r="73" spans="1:10" ht="15.5">
      <c r="A73" s="13">
        <v>45115</v>
      </c>
      <c r="B73" s="12">
        <v>-600</v>
      </c>
      <c r="C73" s="14" t="s">
        <v>507</v>
      </c>
      <c r="D73" s="22">
        <f t="shared" si="2"/>
        <v>-6625</v>
      </c>
      <c r="E73" s="4"/>
      <c r="F73" s="4"/>
      <c r="G73" s="5"/>
      <c r="H73" s="5"/>
    </row>
    <row r="74" spans="1:10" ht="15.5">
      <c r="A74" s="13">
        <v>45117</v>
      </c>
      <c r="B74" s="12">
        <v>-17843</v>
      </c>
      <c r="C74" s="14" t="s">
        <v>508</v>
      </c>
      <c r="D74" s="22">
        <f t="shared" si="2"/>
        <v>-24468</v>
      </c>
      <c r="E74" s="4"/>
      <c r="F74" s="4"/>
      <c r="G74" s="5"/>
      <c r="H74" s="5"/>
    </row>
    <row r="75" spans="1:10" ht="15.5">
      <c r="A75" s="8">
        <v>45116</v>
      </c>
      <c r="B75" s="12">
        <v>-2800</v>
      </c>
      <c r="C75" s="14" t="s">
        <v>6</v>
      </c>
      <c r="D75" s="22">
        <f t="shared" si="2"/>
        <v>-27268</v>
      </c>
      <c r="E75" s="4"/>
      <c r="F75" s="4"/>
      <c r="G75" s="5"/>
      <c r="H75" s="5"/>
    </row>
    <row r="76" spans="1:10" ht="15.5">
      <c r="A76" s="8">
        <v>45083</v>
      </c>
      <c r="B76" s="9">
        <v>-1450</v>
      </c>
      <c r="C76" s="3" t="s">
        <v>509</v>
      </c>
      <c r="D76" s="22">
        <f t="shared" si="2"/>
        <v>-28718</v>
      </c>
      <c r="E76" s="4"/>
      <c r="F76" s="4"/>
      <c r="G76" s="5"/>
      <c r="H76" s="5"/>
    </row>
    <row r="77" spans="1:10" ht="15.5">
      <c r="A77" s="8">
        <v>45117</v>
      </c>
      <c r="B77" s="9">
        <v>-346</v>
      </c>
      <c r="C77" s="3" t="s">
        <v>510</v>
      </c>
      <c r="D77" s="22">
        <f t="shared" si="2"/>
        <v>-29064</v>
      </c>
      <c r="E77" s="4"/>
      <c r="F77" s="4"/>
      <c r="G77" s="5"/>
      <c r="H77" s="5"/>
    </row>
    <row r="78" spans="1:10" ht="15.5">
      <c r="A78" s="8">
        <v>45117</v>
      </c>
      <c r="B78" s="9">
        <v>-4000</v>
      </c>
      <c r="C78" s="3" t="s">
        <v>511</v>
      </c>
      <c r="D78" s="22">
        <f t="shared" si="2"/>
        <v>-33064</v>
      </c>
      <c r="E78" s="4"/>
      <c r="F78" s="4"/>
      <c r="G78" s="5"/>
      <c r="H78" s="5"/>
    </row>
    <row r="79" spans="1:10" ht="15.5">
      <c r="A79" s="8">
        <v>45120</v>
      </c>
      <c r="B79" s="9">
        <v>-2859</v>
      </c>
      <c r="C79" s="3" t="s">
        <v>37</v>
      </c>
      <c r="D79" s="22">
        <f t="shared" si="2"/>
        <v>-35923</v>
      </c>
      <c r="E79" s="4"/>
      <c r="F79" s="4"/>
      <c r="G79" s="5"/>
      <c r="H79" s="5"/>
    </row>
    <row r="80" spans="1:10" ht="15.5">
      <c r="A80" s="8">
        <v>45119</v>
      </c>
      <c r="B80" s="9">
        <v>-789</v>
      </c>
      <c r="C80" s="3" t="s">
        <v>190</v>
      </c>
      <c r="D80" s="22">
        <f t="shared" si="2"/>
        <v>-36712</v>
      </c>
      <c r="E80" s="4"/>
      <c r="F80" s="4"/>
      <c r="G80" s="5"/>
      <c r="H80" s="5"/>
    </row>
    <row r="81" spans="1:8" ht="15.5">
      <c r="A81" s="8">
        <v>45123</v>
      </c>
      <c r="B81" s="9">
        <v>-3000</v>
      </c>
      <c r="C81" s="3" t="s">
        <v>6</v>
      </c>
      <c r="D81" s="22">
        <f t="shared" si="2"/>
        <v>-39712</v>
      </c>
      <c r="E81" s="4"/>
      <c r="F81" s="4"/>
      <c r="G81" s="5"/>
      <c r="H81" s="5"/>
    </row>
    <row r="82" spans="1:8" ht="15.5">
      <c r="A82" s="8">
        <v>45122</v>
      </c>
      <c r="B82" s="9">
        <v>-276</v>
      </c>
      <c r="C82" s="3" t="s">
        <v>512</v>
      </c>
      <c r="D82" s="22">
        <f t="shared" si="2"/>
        <v>-39988</v>
      </c>
      <c r="E82" s="4"/>
      <c r="F82" s="4"/>
      <c r="G82" s="5"/>
      <c r="H82" s="5"/>
    </row>
    <row r="83" spans="1:8" ht="15.5">
      <c r="A83" s="20">
        <v>45122</v>
      </c>
      <c r="B83" s="2">
        <v>-315</v>
      </c>
      <c r="C83" s="18" t="s">
        <v>37</v>
      </c>
      <c r="D83" s="22">
        <f t="shared" si="2"/>
        <v>-40303</v>
      </c>
      <c r="E83" s="4"/>
      <c r="F83" s="4"/>
      <c r="G83" s="5"/>
      <c r="H83" s="5"/>
    </row>
    <row r="84" spans="1:8" ht="15.5">
      <c r="A84" s="8">
        <v>45123</v>
      </c>
      <c r="B84" s="9">
        <v>-4970</v>
      </c>
      <c r="C84" s="3" t="s">
        <v>513</v>
      </c>
      <c r="D84" s="22">
        <f>+D82+B84</f>
        <v>-44958</v>
      </c>
      <c r="E84" s="4"/>
      <c r="F84" s="4"/>
      <c r="G84" s="5"/>
      <c r="H84" s="5"/>
    </row>
    <row r="85" spans="1:8" ht="15.5">
      <c r="A85" s="8">
        <v>45123</v>
      </c>
      <c r="B85" s="9">
        <v>-1500</v>
      </c>
      <c r="C85" s="3" t="s">
        <v>74</v>
      </c>
      <c r="D85" s="22">
        <f t="shared" ref="D85:D109" si="3">+D84+B85</f>
        <v>-46458</v>
      </c>
      <c r="E85" s="4"/>
      <c r="F85" s="4"/>
      <c r="G85" s="5"/>
      <c r="H85" s="5"/>
    </row>
    <row r="86" spans="1:8" ht="15.5">
      <c r="A86" s="8">
        <v>45125</v>
      </c>
      <c r="B86" s="9"/>
      <c r="C86" s="3" t="s">
        <v>514</v>
      </c>
      <c r="D86" s="22">
        <f t="shared" si="3"/>
        <v>-46458</v>
      </c>
      <c r="E86" s="4"/>
      <c r="F86" s="4"/>
      <c r="G86" s="5"/>
      <c r="H86" s="5"/>
    </row>
    <row r="87" spans="1:8" ht="15.5">
      <c r="A87" s="8">
        <v>45124</v>
      </c>
      <c r="B87" s="9">
        <v>-700</v>
      </c>
      <c r="C87" s="3" t="s">
        <v>223</v>
      </c>
      <c r="D87" s="22">
        <f t="shared" si="3"/>
        <v>-47158</v>
      </c>
      <c r="E87" s="4"/>
      <c r="F87" s="4"/>
      <c r="G87" s="5"/>
      <c r="H87" s="5"/>
    </row>
    <row r="88" spans="1:8" ht="15.5">
      <c r="A88" s="8">
        <v>45126</v>
      </c>
      <c r="B88" s="9">
        <v>-7000</v>
      </c>
      <c r="C88" s="3" t="s">
        <v>515</v>
      </c>
      <c r="D88" s="22">
        <f t="shared" si="3"/>
        <v>-54158</v>
      </c>
      <c r="E88" s="4"/>
      <c r="F88" s="4"/>
      <c r="G88" s="5"/>
      <c r="H88" s="5"/>
    </row>
    <row r="89" spans="1:8" ht="15.5">
      <c r="A89" s="8">
        <v>45127</v>
      </c>
      <c r="B89" s="9">
        <v>-2000</v>
      </c>
      <c r="C89" s="3" t="s">
        <v>516</v>
      </c>
      <c r="D89" s="22">
        <f t="shared" si="3"/>
        <v>-56158</v>
      </c>
      <c r="E89" s="4"/>
      <c r="F89" s="4"/>
      <c r="G89" s="5"/>
      <c r="H89" s="5"/>
    </row>
    <row r="90" spans="1:8" ht="15.5">
      <c r="A90" s="8">
        <v>45126</v>
      </c>
      <c r="B90" s="9">
        <v>-1900</v>
      </c>
      <c r="C90" s="3" t="s">
        <v>517</v>
      </c>
      <c r="D90" s="22">
        <f t="shared" si="3"/>
        <v>-58058</v>
      </c>
      <c r="E90" s="4"/>
      <c r="F90" s="4"/>
      <c r="G90" s="5"/>
      <c r="H90" s="5"/>
    </row>
    <row r="91" spans="1:8" ht="15.5">
      <c r="A91" s="8">
        <v>45122</v>
      </c>
      <c r="B91" s="9">
        <v>-500</v>
      </c>
      <c r="C91" s="3" t="s">
        <v>518</v>
      </c>
      <c r="D91" s="22">
        <f t="shared" si="3"/>
        <v>-58558</v>
      </c>
      <c r="E91" s="4"/>
      <c r="F91" s="4"/>
      <c r="G91" s="5"/>
      <c r="H91" s="5"/>
    </row>
    <row r="92" spans="1:8" ht="15.5">
      <c r="A92" s="8">
        <v>45128</v>
      </c>
      <c r="B92" s="9">
        <v>-800</v>
      </c>
      <c r="C92" s="3" t="s">
        <v>501</v>
      </c>
      <c r="D92" s="22">
        <f t="shared" si="3"/>
        <v>-59358</v>
      </c>
      <c r="E92" s="4"/>
      <c r="F92" s="4"/>
      <c r="G92" s="5"/>
      <c r="H92" s="5"/>
    </row>
    <row r="93" spans="1:8" ht="15.5">
      <c r="A93" s="8">
        <v>45129</v>
      </c>
      <c r="B93" s="9">
        <v>-5030</v>
      </c>
      <c r="C93" s="3" t="s">
        <v>37</v>
      </c>
      <c r="D93" s="22">
        <f t="shared" si="3"/>
        <v>-64388</v>
      </c>
      <c r="E93" s="4"/>
      <c r="F93" s="4"/>
      <c r="G93" s="5"/>
      <c r="H93" s="5"/>
    </row>
    <row r="94" spans="1:8" ht="15.5">
      <c r="A94" s="8">
        <v>45129</v>
      </c>
      <c r="B94" s="9">
        <v>-1200</v>
      </c>
      <c r="C94" s="3" t="s">
        <v>432</v>
      </c>
      <c r="D94" s="22">
        <f t="shared" si="3"/>
        <v>-65588</v>
      </c>
      <c r="E94" s="4"/>
      <c r="F94" s="4"/>
      <c r="G94" s="5"/>
      <c r="H94" s="5"/>
    </row>
    <row r="95" spans="1:8" ht="15.5">
      <c r="A95" s="8">
        <v>45135</v>
      </c>
      <c r="B95" s="9">
        <v>-2500</v>
      </c>
      <c r="C95" s="3" t="s">
        <v>519</v>
      </c>
      <c r="D95" s="22">
        <f t="shared" si="3"/>
        <v>-68088</v>
      </c>
      <c r="E95" s="4"/>
      <c r="F95" s="4"/>
      <c r="G95" s="5"/>
      <c r="H95" s="5"/>
    </row>
    <row r="96" spans="1:8" ht="15.5">
      <c r="A96" s="8">
        <v>45136</v>
      </c>
      <c r="B96" s="9">
        <v>-1600</v>
      </c>
      <c r="C96" s="3" t="s">
        <v>520</v>
      </c>
      <c r="D96" s="22">
        <f t="shared" si="3"/>
        <v>-69688</v>
      </c>
      <c r="E96" s="4"/>
      <c r="F96" s="4"/>
      <c r="G96" s="5"/>
      <c r="H96" s="5"/>
    </row>
    <row r="97" spans="1:8" ht="15.5">
      <c r="A97" s="8">
        <v>45134</v>
      </c>
      <c r="B97" s="9">
        <v>-3200</v>
      </c>
      <c r="C97" s="3" t="s">
        <v>6</v>
      </c>
      <c r="D97" s="22">
        <f t="shared" si="3"/>
        <v>-72888</v>
      </c>
      <c r="E97" s="4"/>
      <c r="F97" s="4"/>
      <c r="G97" s="5"/>
      <c r="H97" s="5"/>
    </row>
    <row r="98" spans="1:8" ht="15.5">
      <c r="A98" s="8">
        <v>45135</v>
      </c>
      <c r="B98" s="9">
        <v>-400</v>
      </c>
      <c r="C98" s="3" t="s">
        <v>521</v>
      </c>
      <c r="D98" s="22">
        <f t="shared" si="3"/>
        <v>-73288</v>
      </c>
      <c r="E98" s="4"/>
      <c r="F98" s="4"/>
      <c r="G98" s="5"/>
      <c r="H98" s="5"/>
    </row>
    <row r="99" spans="1:8" ht="15.5">
      <c r="A99" s="8">
        <v>45138</v>
      </c>
      <c r="B99" s="9"/>
      <c r="C99" s="3" t="s">
        <v>522</v>
      </c>
      <c r="D99" s="22">
        <f t="shared" si="3"/>
        <v>-73288</v>
      </c>
      <c r="E99" s="4"/>
      <c r="F99" s="4"/>
      <c r="G99" s="5"/>
      <c r="H99" s="5"/>
    </row>
    <row r="100" spans="1:8" ht="15.5">
      <c r="A100" s="8">
        <v>45139</v>
      </c>
      <c r="B100" s="9"/>
      <c r="C100" s="3" t="s">
        <v>82</v>
      </c>
      <c r="D100" s="22">
        <f t="shared" si="3"/>
        <v>-73288</v>
      </c>
      <c r="E100" s="4"/>
      <c r="F100" s="4"/>
      <c r="G100" s="5"/>
      <c r="H100" s="5"/>
    </row>
    <row r="101" spans="1:8" ht="15.5">
      <c r="A101" s="8">
        <v>45138</v>
      </c>
      <c r="B101" s="9"/>
      <c r="C101" s="3" t="s">
        <v>523</v>
      </c>
      <c r="D101" s="22">
        <f t="shared" si="3"/>
        <v>-73288</v>
      </c>
      <c r="E101" s="4"/>
      <c r="F101" s="4"/>
      <c r="G101" s="5"/>
      <c r="H101" s="5"/>
    </row>
    <row r="102" spans="1:8" ht="15.5">
      <c r="A102" s="8">
        <v>45138</v>
      </c>
      <c r="B102" s="9"/>
      <c r="C102" s="3" t="s">
        <v>13</v>
      </c>
      <c r="D102" s="22">
        <f t="shared" si="3"/>
        <v>-73288</v>
      </c>
      <c r="E102" s="4"/>
      <c r="F102" s="4"/>
      <c r="G102" s="5"/>
      <c r="H102" s="5"/>
    </row>
    <row r="103" spans="1:8" ht="15.5">
      <c r="A103" s="8">
        <v>45133</v>
      </c>
      <c r="B103" s="9">
        <v>-2400</v>
      </c>
      <c r="C103" s="3" t="s">
        <v>524</v>
      </c>
      <c r="D103" s="22">
        <f t="shared" si="3"/>
        <v>-75688</v>
      </c>
      <c r="E103" s="4"/>
      <c r="F103" s="4"/>
      <c r="G103" s="5"/>
      <c r="H103" s="5"/>
    </row>
    <row r="104" spans="1:8" ht="15.5">
      <c r="A104" s="8">
        <v>45138</v>
      </c>
      <c r="B104" s="9">
        <v>-1185</v>
      </c>
      <c r="C104" s="3" t="s">
        <v>37</v>
      </c>
      <c r="D104" s="22">
        <f t="shared" si="3"/>
        <v>-76873</v>
      </c>
      <c r="E104" s="4"/>
      <c r="F104" s="4"/>
      <c r="G104" s="5"/>
      <c r="H104" s="5"/>
    </row>
    <row r="105" spans="1:8" ht="15.5">
      <c r="A105" s="8">
        <v>45132</v>
      </c>
      <c r="B105" s="9">
        <v>-2790</v>
      </c>
      <c r="C105" s="3" t="s">
        <v>6</v>
      </c>
      <c r="D105" s="22">
        <f t="shared" si="3"/>
        <v>-79663</v>
      </c>
      <c r="E105" s="4"/>
      <c r="F105" s="4"/>
      <c r="G105" s="5"/>
      <c r="H105" s="5"/>
    </row>
    <row r="106" spans="1:8" ht="15.5">
      <c r="A106" s="8">
        <v>45122</v>
      </c>
      <c r="B106" s="9">
        <v>-1522</v>
      </c>
      <c r="C106" s="3" t="s">
        <v>37</v>
      </c>
      <c r="D106" s="22">
        <f t="shared" si="3"/>
        <v>-81185</v>
      </c>
      <c r="E106" s="4"/>
      <c r="F106" s="4"/>
      <c r="G106" s="5"/>
      <c r="H106" s="5"/>
    </row>
    <row r="107" spans="1:8" ht="15.5">
      <c r="A107" s="8">
        <v>45124</v>
      </c>
      <c r="B107" s="9">
        <v>-2900</v>
      </c>
      <c r="C107" s="3" t="s">
        <v>6</v>
      </c>
      <c r="D107" s="22">
        <f t="shared" si="3"/>
        <v>-84085</v>
      </c>
      <c r="E107" s="4"/>
      <c r="F107" s="4"/>
      <c r="G107" s="5"/>
      <c r="H107" s="5"/>
    </row>
    <row r="108" spans="1:8" ht="15.5">
      <c r="A108" s="8">
        <v>45124</v>
      </c>
      <c r="B108" s="9">
        <v>-355</v>
      </c>
      <c r="C108" s="3" t="s">
        <v>9</v>
      </c>
      <c r="D108" s="22">
        <f t="shared" si="3"/>
        <v>-84440</v>
      </c>
      <c r="E108" s="4"/>
      <c r="F108" s="4"/>
      <c r="G108" s="5"/>
      <c r="H108" s="5"/>
    </row>
    <row r="109" spans="1:8" ht="15.5">
      <c r="A109" s="8">
        <v>45138</v>
      </c>
      <c r="B109" s="9"/>
      <c r="C109" s="3" t="s">
        <v>504</v>
      </c>
      <c r="D109" s="22">
        <f t="shared" si="3"/>
        <v>-84440</v>
      </c>
      <c r="E109" s="4"/>
      <c r="F109" s="4"/>
      <c r="G109" s="5"/>
      <c r="H109" s="5"/>
    </row>
    <row r="110" spans="1:8" ht="15.5">
      <c r="A110" s="8"/>
      <c r="B110" s="9"/>
      <c r="C110" s="3"/>
      <c r="D110" s="22"/>
      <c r="E110" s="4"/>
      <c r="F110" s="4"/>
      <c r="G110" s="5"/>
      <c r="H110" s="5"/>
    </row>
    <row r="111" spans="1:8" ht="15.5">
      <c r="A111" s="8"/>
      <c r="B111" s="9"/>
      <c r="C111" s="3"/>
      <c r="D111" s="22"/>
      <c r="E111" s="4"/>
      <c r="F111" s="4"/>
      <c r="G111" s="5"/>
      <c r="H111" s="5"/>
    </row>
    <row r="112" spans="1:8" ht="15.5">
      <c r="A112" s="8"/>
      <c r="B112" s="9"/>
      <c r="C112" s="3"/>
      <c r="D112" s="22"/>
      <c r="E112" s="4"/>
      <c r="F112" s="4"/>
      <c r="G112" s="5"/>
      <c r="H112" s="5"/>
    </row>
    <row r="113" spans="1:8" ht="15.5">
      <c r="A113" s="8"/>
      <c r="B113" s="9">
        <f>SUM(B70:B112)</f>
        <v>-84755</v>
      </c>
      <c r="C113" s="3"/>
      <c r="D113" s="22"/>
      <c r="E113" s="4"/>
      <c r="F113" s="4"/>
      <c r="G113" s="5"/>
      <c r="H113" s="5"/>
    </row>
    <row r="114" spans="1:8" ht="15.5">
      <c r="A114" s="8"/>
      <c r="B114" s="9"/>
      <c r="C114" s="3"/>
      <c r="D114" s="22"/>
      <c r="E114" s="4"/>
      <c r="F114" s="4"/>
      <c r="G114" s="5"/>
      <c r="H114" s="5"/>
    </row>
    <row r="115" spans="1:8" ht="15.5">
      <c r="A115" s="8"/>
      <c r="B115" s="9"/>
      <c r="C115" s="3"/>
      <c r="D115" s="22"/>
      <c r="E115" s="4"/>
      <c r="F115" s="4"/>
      <c r="G115" s="5"/>
      <c r="H115" s="5"/>
    </row>
    <row r="116" spans="1:8" ht="15.5">
      <c r="A116" s="8"/>
      <c r="B116" s="9"/>
      <c r="C116" s="3"/>
      <c r="D116" s="22"/>
      <c r="E116" s="4"/>
      <c r="F116" s="4"/>
      <c r="G116" s="5"/>
      <c r="H116" s="5"/>
    </row>
    <row r="117" spans="1:8" ht="15.5">
      <c r="A117" s="8"/>
      <c r="B117" s="9"/>
      <c r="C117" s="3"/>
      <c r="D117" s="22"/>
      <c r="E117" s="4"/>
      <c r="F117" s="4"/>
      <c r="G117" s="5"/>
      <c r="H117" s="5"/>
    </row>
    <row r="118" spans="1:8" ht="15.5">
      <c r="A118" s="8"/>
      <c r="B118" s="9"/>
      <c r="C118" s="3"/>
      <c r="D118" s="22"/>
      <c r="E118" s="4"/>
      <c r="F118" s="4"/>
      <c r="G118" s="5"/>
      <c r="H118" s="5"/>
    </row>
    <row r="119" spans="1:8" ht="15.5">
      <c r="A119" s="8"/>
      <c r="B119" s="9"/>
      <c r="C119" s="3"/>
      <c r="D119" s="22"/>
      <c r="E119" s="4"/>
      <c r="F119" s="4"/>
      <c r="G119" s="5"/>
      <c r="H119" s="5"/>
    </row>
    <row r="120" spans="1:8" ht="15.5">
      <c r="A120" s="8"/>
      <c r="B120" s="9"/>
      <c r="C120" s="3"/>
      <c r="D120" s="22"/>
      <c r="E120" s="4"/>
      <c r="F120" s="4"/>
      <c r="G120" s="5"/>
      <c r="H120" s="5"/>
    </row>
    <row r="121" spans="1:8" ht="15.5">
      <c r="A121" s="8"/>
      <c r="B121" s="9"/>
      <c r="C121" s="3"/>
      <c r="D121" s="22"/>
      <c r="E121" s="4"/>
      <c r="F121" s="4"/>
      <c r="G121" s="5"/>
      <c r="H121" s="5"/>
    </row>
    <row r="122" spans="1:8" ht="15.5">
      <c r="A122" s="8"/>
      <c r="B122" s="9"/>
      <c r="C122" s="3"/>
      <c r="D122" s="22"/>
      <c r="E122" s="4"/>
      <c r="F122" s="4"/>
      <c r="G122" s="5"/>
      <c r="H122" s="5"/>
    </row>
    <row r="123" spans="1:8" ht="15.5">
      <c r="A123" s="8"/>
      <c r="B123" s="9"/>
      <c r="C123" s="3"/>
      <c r="D123" s="22"/>
      <c r="E123" s="4"/>
      <c r="F123" s="4"/>
      <c r="G123" s="5"/>
      <c r="H123" s="5"/>
    </row>
    <row r="124" spans="1:8" ht="15.5">
      <c r="A124" s="8"/>
      <c r="B124" s="9"/>
      <c r="C124" s="3"/>
      <c r="D124" s="22"/>
      <c r="E124" s="4"/>
      <c r="F124" s="4"/>
      <c r="G124" s="5"/>
      <c r="H124" s="5"/>
    </row>
    <row r="125" spans="1:8" ht="15.5">
      <c r="A125" s="8"/>
      <c r="B125" s="9"/>
      <c r="C125" s="3"/>
      <c r="D125" s="22"/>
      <c r="E125" s="4"/>
      <c r="F125" s="4"/>
      <c r="G125" s="5"/>
      <c r="H125" s="5"/>
    </row>
    <row r="126" spans="1:8" ht="15.5">
      <c r="A126" s="8"/>
      <c r="B126" s="9"/>
      <c r="C126" s="3"/>
      <c r="D126" s="22"/>
      <c r="E126" s="4"/>
      <c r="F126" s="4"/>
      <c r="G126" s="5"/>
      <c r="H126" s="5"/>
    </row>
    <row r="127" spans="1:8" ht="15.5">
      <c r="A127" s="8"/>
      <c r="B127" s="9"/>
      <c r="C127" s="3"/>
      <c r="D127" s="22"/>
      <c r="E127" s="4"/>
      <c r="F127" s="4"/>
      <c r="G127" s="5"/>
      <c r="H127" s="5"/>
    </row>
    <row r="128" spans="1:8" ht="15.5">
      <c r="A128" s="8"/>
      <c r="B128" s="9"/>
      <c r="C128" s="3"/>
      <c r="D128" s="22"/>
      <c r="E128" s="17"/>
      <c r="F128" s="4"/>
      <c r="G128" s="5"/>
      <c r="H128" s="5"/>
    </row>
    <row r="129" spans="1:8" ht="15.5">
      <c r="A129" s="8"/>
      <c r="B129" s="9"/>
      <c r="C129" s="3"/>
      <c r="D129" s="22"/>
    </row>
    <row r="130" spans="1:8" ht="15.5">
      <c r="A130" s="8"/>
      <c r="B130" s="9"/>
      <c r="C130" s="3"/>
      <c r="D130" s="22"/>
      <c r="G130" s="2">
        <v>250</v>
      </c>
      <c r="H130" s="11">
        <f>+F130*G130</f>
        <v>0</v>
      </c>
    </row>
    <row r="131" spans="1:8" ht="15.5">
      <c r="A131" s="8"/>
      <c r="B131" s="9"/>
      <c r="C131" s="3"/>
      <c r="D131" s="22"/>
      <c r="G131" s="2">
        <v>250</v>
      </c>
      <c r="H131" s="11">
        <f>+F131*G131</f>
        <v>0</v>
      </c>
    </row>
    <row r="132" spans="1:8" ht="15.5">
      <c r="A132" s="8"/>
      <c r="B132" s="9"/>
      <c r="C132" s="3"/>
      <c r="D132" s="22"/>
    </row>
    <row r="133" spans="1:8" ht="15.5">
      <c r="A133" s="8"/>
      <c r="B133" s="9"/>
      <c r="C133" s="3"/>
      <c r="D133" s="22"/>
    </row>
    <row r="134" spans="1:8" ht="15.5">
      <c r="A134" s="8"/>
      <c r="B134" s="9"/>
      <c r="C134" s="3"/>
      <c r="D134" s="22"/>
    </row>
    <row r="135" spans="1:8" ht="15.5">
      <c r="A135" s="8"/>
      <c r="B135" s="9"/>
      <c r="C135" s="3"/>
      <c r="D135" s="22"/>
    </row>
    <row r="136" spans="1:8" ht="15.5">
      <c r="A136" s="8"/>
      <c r="B136" s="9"/>
      <c r="C136" s="3"/>
      <c r="D136" s="22"/>
      <c r="H136">
        <v>15000</v>
      </c>
    </row>
    <row r="137" spans="1:8" ht="15.5">
      <c r="A137" s="8"/>
      <c r="B137" s="9"/>
      <c r="C137" s="3"/>
      <c r="D137" s="22"/>
    </row>
    <row r="138" spans="1:8" ht="15.5">
      <c r="A138" s="8"/>
      <c r="B138" s="9"/>
      <c r="C138" s="3"/>
      <c r="D138" s="22"/>
    </row>
    <row r="139" spans="1:8" ht="15.5">
      <c r="A139" s="8"/>
      <c r="B139" s="9"/>
      <c r="C139" s="3"/>
      <c r="D139" s="22"/>
    </row>
    <row r="140" spans="1:8" ht="15.5">
      <c r="A140" s="8"/>
      <c r="B140" s="9"/>
      <c r="C140" s="3"/>
      <c r="D140" s="22"/>
    </row>
    <row r="141" spans="1:8" ht="15.5">
      <c r="A141" s="8"/>
      <c r="B141" s="9"/>
      <c r="C141" s="3"/>
      <c r="D141" s="22"/>
    </row>
    <row r="142" spans="1:8" ht="15.5">
      <c r="A142" s="8"/>
      <c r="B142" s="9"/>
      <c r="C142" s="3"/>
      <c r="D142" s="22"/>
    </row>
    <row r="143" spans="1:8" ht="15.5">
      <c r="A143" s="8"/>
      <c r="B143" s="9"/>
      <c r="C143" s="3"/>
      <c r="D143" s="22"/>
    </row>
    <row r="144" spans="1:8" ht="15.5">
      <c r="A144" s="8"/>
      <c r="B144" s="9"/>
      <c r="C144" s="3"/>
      <c r="D144" s="22"/>
    </row>
    <row r="145" spans="1:8" ht="15.5">
      <c r="A145" s="8"/>
      <c r="B145" s="9"/>
      <c r="C145" s="3"/>
      <c r="D145" s="22"/>
      <c r="F145">
        <v>325000</v>
      </c>
      <c r="G145" s="24">
        <v>3.4200000000000001E-2</v>
      </c>
      <c r="H145" s="11">
        <f>+F145*G145</f>
        <v>11115</v>
      </c>
    </row>
    <row r="146" spans="1:8" ht="15.5">
      <c r="A146" s="8"/>
      <c r="B146" s="9"/>
      <c r="C146" s="3"/>
      <c r="D146" s="22"/>
      <c r="F146">
        <v>1325000</v>
      </c>
      <c r="G146" s="25">
        <v>3.4200000000000001E-2</v>
      </c>
      <c r="H146" s="11">
        <f>+F146*G146</f>
        <v>45315</v>
      </c>
    </row>
    <row r="147" spans="1:8" ht="15.5">
      <c r="A147" s="8"/>
      <c r="B147" s="9"/>
      <c r="C147" s="3"/>
      <c r="D147" s="22"/>
    </row>
    <row r="148" spans="1:8" ht="15.5">
      <c r="A148" s="8"/>
      <c r="B148" s="9"/>
      <c r="C148" s="3"/>
      <c r="D148" s="22"/>
    </row>
    <row r="149" spans="1:8" ht="15.5">
      <c r="A149" s="8"/>
      <c r="B149" s="9"/>
      <c r="C149" s="3"/>
      <c r="D149" s="10"/>
      <c r="F149">
        <f>250*5300</f>
        <v>1325000</v>
      </c>
      <c r="H149">
        <f>SUM(H136:H148)</f>
        <v>71430</v>
      </c>
    </row>
  </sheetData>
  <mergeCells count="2">
    <mergeCell ref="A1:C1"/>
    <mergeCell ref="G2:H2"/>
  </mergeCells>
  <pageMargins left="0.7" right="0.7" top="0.75" bottom="0.75" header="0.511811023622047" footer="0.511811023622047"/>
  <pageSetup orientation="portrait" horizontalDpi="300" verticalDpi="30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1"/>
  <sheetViews>
    <sheetView zoomScaleNormal="100" workbookViewId="0">
      <selection activeCell="N16" sqref="N16"/>
    </sheetView>
  </sheetViews>
  <sheetFormatPr baseColWidth="10" defaultColWidth="8.7265625" defaultRowHeight="14.5"/>
  <cols>
    <col min="1" max="1" width="25" customWidth="1"/>
    <col min="4" max="4" width="13.54296875" style="2" customWidth="1"/>
  </cols>
  <sheetData>
    <row r="2" spans="1:4">
      <c r="A2" t="s">
        <v>525</v>
      </c>
      <c r="B2">
        <v>50</v>
      </c>
      <c r="C2">
        <v>5000</v>
      </c>
      <c r="D2" s="2">
        <f>+B2*C2</f>
        <v>250000</v>
      </c>
    </row>
    <row r="3" spans="1:4">
      <c r="A3" t="s">
        <v>526</v>
      </c>
      <c r="B3">
        <v>150</v>
      </c>
      <c r="C3">
        <v>1300</v>
      </c>
      <c r="D3" s="2">
        <f>+B3*C3</f>
        <v>195000</v>
      </c>
    </row>
    <row r="4" spans="1:4">
      <c r="A4" t="s">
        <v>527</v>
      </c>
      <c r="D4" s="2">
        <v>20000</v>
      </c>
    </row>
    <row r="5" spans="1:4">
      <c r="A5" t="s">
        <v>528</v>
      </c>
      <c r="D5" s="2">
        <v>50000</v>
      </c>
    </row>
    <row r="6" spans="1:4">
      <c r="A6" t="s">
        <v>529</v>
      </c>
      <c r="D6" s="2">
        <v>40000</v>
      </c>
    </row>
    <row r="7" spans="1:4">
      <c r="A7" t="s">
        <v>530</v>
      </c>
      <c r="B7">
        <v>150</v>
      </c>
      <c r="C7">
        <v>700</v>
      </c>
      <c r="D7" s="2">
        <f>+B7*C7</f>
        <v>105000</v>
      </c>
    </row>
    <row r="8" spans="1:4">
      <c r="A8" t="s">
        <v>531</v>
      </c>
      <c r="B8">
        <v>40</v>
      </c>
      <c r="C8">
        <v>3000</v>
      </c>
      <c r="D8" s="2">
        <f>+B8*C8</f>
        <v>120000</v>
      </c>
    </row>
    <row r="9" spans="1:4">
      <c r="A9" t="s">
        <v>532</v>
      </c>
      <c r="D9" s="2">
        <v>120000</v>
      </c>
    </row>
    <row r="11" spans="1:4">
      <c r="D11" s="2">
        <f>SUM(D2:D10)</f>
        <v>900000</v>
      </c>
    </row>
  </sheetData>
  <pageMargins left="0.7" right="0.7" top="0.75" bottom="0.75" header="0.511811023622047" footer="0.511811023622047"/>
  <pageSetup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W171"/>
  <sheetViews>
    <sheetView tabSelected="1" zoomScaleNormal="100" workbookViewId="0">
      <pane xSplit="1" ySplit="2" topLeftCell="Z36" activePane="bottomRight" state="frozen"/>
      <selection pane="topRight" activeCell="B1" sqref="B1"/>
      <selection pane="bottomLeft" activeCell="A3" sqref="A3"/>
      <selection pane="bottomRight" activeCell="AA47" sqref="AA47"/>
    </sheetView>
  </sheetViews>
  <sheetFormatPr baseColWidth="10" defaultColWidth="8.7265625" defaultRowHeight="14.5"/>
  <cols>
    <col min="1" max="1" width="21.453125" style="118" customWidth="1"/>
    <col min="2" max="2" width="13.26953125" style="2" hidden="1" customWidth="1"/>
    <col min="3" max="3" width="16.81640625" hidden="1" customWidth="1"/>
    <col min="4" max="4" width="13.36328125" style="2" hidden="1" customWidth="1"/>
    <col min="5" max="5" width="16.6328125" style="2" hidden="1" customWidth="1"/>
    <col min="6" max="6" width="16.1796875" hidden="1" customWidth="1"/>
    <col min="7" max="7" width="16.08984375" hidden="1" customWidth="1"/>
    <col min="8" max="8" width="15.1796875" hidden="1" customWidth="1"/>
    <col min="9" max="9" width="16.08984375" hidden="1" customWidth="1"/>
    <col min="10" max="10" width="26.90625" hidden="1" customWidth="1"/>
    <col min="11" max="11" width="16.81640625" hidden="1" customWidth="1"/>
    <col min="12" max="12" width="15.54296875" hidden="1" customWidth="1"/>
    <col min="13" max="13" width="14.7265625" hidden="1" customWidth="1"/>
    <col min="14" max="14" width="14.1796875" hidden="1" customWidth="1"/>
    <col min="15" max="15" width="16.1796875" hidden="1" customWidth="1"/>
    <col min="16" max="16" width="15.54296875" hidden="1" customWidth="1"/>
    <col min="17" max="17" width="14.7265625" hidden="1" customWidth="1"/>
    <col min="18" max="18" width="15.1796875" hidden="1" customWidth="1"/>
    <col min="19" max="19" width="12.453125" hidden="1" customWidth="1"/>
    <col min="20" max="20" width="16" hidden="1" customWidth="1"/>
    <col min="21" max="21" width="13.54296875" hidden="1" customWidth="1"/>
    <col min="22" max="22" width="15.7265625" hidden="1" customWidth="1"/>
    <col min="23" max="23" width="15.54296875" hidden="1" customWidth="1"/>
    <col min="24" max="24" width="14.1796875" hidden="1" customWidth="1"/>
    <col min="25" max="25" width="16" hidden="1" customWidth="1"/>
    <col min="26" max="26" width="13.6328125" customWidth="1"/>
    <col min="27" max="28" width="15.26953125" customWidth="1"/>
    <col min="29" max="29" width="19.08984375" customWidth="1"/>
    <col min="30" max="30" width="16.36328125" customWidth="1"/>
    <col min="31" max="31" width="21.26953125" customWidth="1"/>
  </cols>
  <sheetData>
    <row r="1" spans="1:40">
      <c r="B1" s="198" t="s">
        <v>257</v>
      </c>
      <c r="C1" s="198"/>
      <c r="D1" s="198"/>
      <c r="E1" s="198"/>
      <c r="F1" s="198"/>
      <c r="G1" s="198"/>
      <c r="H1" s="198"/>
      <c r="V1" t="s">
        <v>997</v>
      </c>
      <c r="W1">
        <v>64.5</v>
      </c>
    </row>
    <row r="2" spans="1:40" ht="18.5">
      <c r="A2" s="120"/>
      <c r="B2" s="57" t="s">
        <v>258</v>
      </c>
      <c r="C2" s="58" t="s">
        <v>259</v>
      </c>
      <c r="D2" s="57" t="s">
        <v>260</v>
      </c>
      <c r="E2" s="57" t="s">
        <v>261</v>
      </c>
      <c r="F2" s="57" t="s">
        <v>262</v>
      </c>
      <c r="G2" s="59" t="s">
        <v>263</v>
      </c>
      <c r="H2" s="1" t="s">
        <v>264</v>
      </c>
      <c r="I2" s="60" t="s">
        <v>265</v>
      </c>
      <c r="J2" s="60" t="s">
        <v>266</v>
      </c>
      <c r="K2" s="60" t="s">
        <v>267</v>
      </c>
      <c r="L2" s="60" t="s">
        <v>268</v>
      </c>
      <c r="M2" s="60" t="s">
        <v>269</v>
      </c>
      <c r="N2" s="60" t="s">
        <v>258</v>
      </c>
      <c r="O2" s="60" t="s">
        <v>270</v>
      </c>
      <c r="P2" s="60" t="s">
        <v>271</v>
      </c>
      <c r="Q2" s="60" t="s">
        <v>272</v>
      </c>
      <c r="R2" s="60" t="s">
        <v>262</v>
      </c>
      <c r="S2" s="60" t="s">
        <v>273</v>
      </c>
      <c r="T2" s="60" t="s">
        <v>258</v>
      </c>
      <c r="U2" s="60" t="s">
        <v>270</v>
      </c>
      <c r="V2" s="60" t="s">
        <v>271</v>
      </c>
      <c r="W2" s="60" t="s">
        <v>272</v>
      </c>
      <c r="X2" s="60" t="s">
        <v>262</v>
      </c>
      <c r="Y2" s="60" t="s">
        <v>273</v>
      </c>
      <c r="Z2" s="60" t="s">
        <v>264</v>
      </c>
      <c r="AA2" s="60" t="s">
        <v>265</v>
      </c>
      <c r="AB2" s="187" t="s">
        <v>266</v>
      </c>
      <c r="AD2" s="191" t="s">
        <v>87</v>
      </c>
      <c r="AE2" s="192"/>
      <c r="AF2" s="192"/>
      <c r="AG2" s="192"/>
      <c r="AH2" s="192"/>
      <c r="AI2" s="192"/>
      <c r="AJ2" s="192"/>
      <c r="AK2" s="192"/>
      <c r="AL2" s="192"/>
      <c r="AM2" s="199"/>
      <c r="AN2" s="87"/>
    </row>
    <row r="3" spans="1:40" ht="15.5">
      <c r="A3" s="120" t="s">
        <v>274</v>
      </c>
      <c r="B3" s="12"/>
      <c r="C3" s="12">
        <v>50000</v>
      </c>
      <c r="D3" s="12">
        <v>15000</v>
      </c>
      <c r="E3" s="12">
        <v>124000</v>
      </c>
      <c r="F3" s="12">
        <v>34000</v>
      </c>
      <c r="G3" s="12">
        <v>45000</v>
      </c>
      <c r="H3" s="12">
        <v>20000</v>
      </c>
      <c r="I3" s="12">
        <v>10000</v>
      </c>
      <c r="J3" s="12">
        <v>10000</v>
      </c>
      <c r="K3" s="12">
        <v>50000</v>
      </c>
      <c r="L3" s="12">
        <v>115000</v>
      </c>
      <c r="M3" s="12">
        <v>113000</v>
      </c>
      <c r="N3" s="12">
        <v>73000</v>
      </c>
      <c r="O3" s="12">
        <v>54000</v>
      </c>
      <c r="P3" s="12">
        <v>4000</v>
      </c>
      <c r="Q3" s="12">
        <v>16000</v>
      </c>
      <c r="R3" s="12">
        <v>16000</v>
      </c>
      <c r="S3" s="12">
        <v>40000</v>
      </c>
      <c r="T3" s="12">
        <v>30000</v>
      </c>
      <c r="U3" s="12">
        <v>14000</v>
      </c>
      <c r="V3" s="12">
        <v>34000</v>
      </c>
      <c r="W3" s="12">
        <v>15000</v>
      </c>
      <c r="X3" s="12">
        <v>20000</v>
      </c>
      <c r="Y3" s="12">
        <v>20000</v>
      </c>
      <c r="Z3" s="12">
        <v>20000</v>
      </c>
      <c r="AA3" s="12">
        <v>20000</v>
      </c>
      <c r="AB3" s="12">
        <v>20000</v>
      </c>
      <c r="AD3" s="62"/>
      <c r="AE3" s="62"/>
      <c r="AF3" s="62"/>
      <c r="AG3" s="63" t="s">
        <v>302</v>
      </c>
      <c r="AH3" s="64">
        <v>0.14000000000000001</v>
      </c>
      <c r="AI3" s="62"/>
      <c r="AJ3" s="62"/>
      <c r="AK3" s="65" t="s">
        <v>303</v>
      </c>
      <c r="AL3" s="66"/>
      <c r="AM3" s="66"/>
      <c r="AN3" s="62"/>
    </row>
    <row r="4" spans="1:40" ht="29">
      <c r="A4" s="120" t="s">
        <v>275</v>
      </c>
      <c r="B4" s="12"/>
      <c r="C4" s="12">
        <v>20000</v>
      </c>
      <c r="D4" s="12">
        <v>105000</v>
      </c>
      <c r="E4" s="12">
        <v>225000</v>
      </c>
      <c r="F4" s="12">
        <v>66000</v>
      </c>
      <c r="G4" s="12">
        <v>85000</v>
      </c>
      <c r="H4" s="12">
        <v>44000</v>
      </c>
      <c r="I4" s="12">
        <v>50000</v>
      </c>
      <c r="J4" s="12">
        <v>50000</v>
      </c>
      <c r="K4" s="12">
        <v>178000</v>
      </c>
      <c r="L4" s="12">
        <v>221000</v>
      </c>
      <c r="M4" s="12">
        <v>217000</v>
      </c>
      <c r="N4" s="12">
        <v>127000</v>
      </c>
      <c r="O4" s="12">
        <v>183000</v>
      </c>
      <c r="P4" s="12">
        <v>74300</v>
      </c>
      <c r="Q4" s="12">
        <v>87000</v>
      </c>
      <c r="R4" s="12">
        <v>87000</v>
      </c>
      <c r="S4" s="12">
        <v>145000</v>
      </c>
      <c r="T4" s="12">
        <v>18962</v>
      </c>
      <c r="U4" s="12">
        <v>139000</v>
      </c>
      <c r="V4" s="12">
        <v>1158772</v>
      </c>
      <c r="W4" s="12">
        <v>1053784</v>
      </c>
      <c r="X4" s="12">
        <v>2526592</v>
      </c>
      <c r="Y4" s="12">
        <v>2181423</v>
      </c>
      <c r="Z4" s="12">
        <v>478424</v>
      </c>
      <c r="AA4" s="12">
        <v>55000</v>
      </c>
      <c r="AB4" s="12">
        <v>55000</v>
      </c>
      <c r="AC4">
        <f>28*60</f>
        <v>1680</v>
      </c>
      <c r="AD4" s="67"/>
      <c r="AE4" s="68" t="s">
        <v>304</v>
      </c>
      <c r="AF4" s="68" t="s">
        <v>305</v>
      </c>
      <c r="AG4" s="68" t="s">
        <v>306</v>
      </c>
      <c r="AH4" s="69" t="s">
        <v>307</v>
      </c>
      <c r="AI4" s="69" t="s">
        <v>308</v>
      </c>
      <c r="AJ4" s="70" t="s">
        <v>309</v>
      </c>
      <c r="AK4" s="69" t="s">
        <v>310</v>
      </c>
      <c r="AL4" s="68">
        <v>60</v>
      </c>
      <c r="AM4" s="68">
        <v>72</v>
      </c>
      <c r="AN4" s="68">
        <v>120</v>
      </c>
    </row>
    <row r="5" spans="1:40" ht="17.5">
      <c r="A5" s="120" t="s">
        <v>276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>
        <v>25000</v>
      </c>
      <c r="T5" s="12">
        <v>0</v>
      </c>
      <c r="U5" s="12">
        <v>0</v>
      </c>
      <c r="V5" s="12">
        <v>0</v>
      </c>
      <c r="W5" s="12">
        <v>0</v>
      </c>
      <c r="X5" s="12">
        <v>0</v>
      </c>
      <c r="Y5" s="12">
        <v>0</v>
      </c>
      <c r="Z5" s="12">
        <v>0</v>
      </c>
      <c r="AA5" s="12">
        <v>0</v>
      </c>
      <c r="AB5" s="12">
        <v>0</v>
      </c>
      <c r="AD5" s="71">
        <v>1</v>
      </c>
      <c r="AE5" s="178">
        <v>1111</v>
      </c>
      <c r="AF5" s="72">
        <v>2400</v>
      </c>
      <c r="AG5" s="72"/>
      <c r="AH5" s="72">
        <f t="shared" ref="AH5:AH12" si="0">+AE5*AF5*0.95</f>
        <v>2533080</v>
      </c>
      <c r="AI5" s="72">
        <f t="shared" ref="AI5:AI12" si="1">+AH5*0.2</f>
        <v>506616</v>
      </c>
      <c r="AJ5" s="72">
        <f t="shared" ref="AJ5:AJ13" si="2">+AI5/4</f>
        <v>126654</v>
      </c>
      <c r="AK5" s="72">
        <f t="shared" ref="AK5:AK12" si="3">+AH5-AI5</f>
        <v>2026464</v>
      </c>
      <c r="AL5" s="73">
        <f>PMT(+AH3/12, +AL4, -AK5)</f>
        <v>47152.272689253594</v>
      </c>
      <c r="AM5" s="73">
        <f>PMT(+AH3/12, +AM4, -AK5)</f>
        <v>41756.789254405623</v>
      </c>
      <c r="AN5" s="73">
        <f>PMT(+AH3/12, +AN4, -AK5)</f>
        <v>31464.184101875169</v>
      </c>
    </row>
    <row r="6" spans="1:40" ht="17.5">
      <c r="A6" s="120" t="s">
        <v>278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>
        <v>483</v>
      </c>
      <c r="Z6" s="12">
        <v>483</v>
      </c>
      <c r="AA6" s="12">
        <v>3483</v>
      </c>
      <c r="AB6" s="12">
        <v>3483</v>
      </c>
      <c r="AD6" s="71">
        <v>2</v>
      </c>
      <c r="AE6" s="72">
        <v>1207</v>
      </c>
      <c r="AF6" s="72">
        <v>2400</v>
      </c>
      <c r="AG6" s="72"/>
      <c r="AH6" s="72">
        <f t="shared" si="0"/>
        <v>2751960</v>
      </c>
      <c r="AI6" s="72">
        <f t="shared" si="1"/>
        <v>550392</v>
      </c>
      <c r="AJ6" s="72">
        <f t="shared" si="2"/>
        <v>137598</v>
      </c>
      <c r="AK6" s="72">
        <f t="shared" si="3"/>
        <v>2201568</v>
      </c>
      <c r="AL6" s="73">
        <f>PMT(+AH3/12, +AL4, -AK6)</f>
        <v>51226.636485984774</v>
      </c>
      <c r="AM6" s="73">
        <f>PMT(+AH3/12, +AM4, -AK6)</f>
        <v>45364.936660726904</v>
      </c>
      <c r="AN6" s="73">
        <f>PMT(+AH3/12, +AN4, -AK6)</f>
        <v>34182.961486015593</v>
      </c>
    </row>
    <row r="7" spans="1:40" ht="17.5">
      <c r="A7" s="120" t="s">
        <v>984</v>
      </c>
      <c r="B7" s="12"/>
      <c r="C7" s="14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>
        <v>34500</v>
      </c>
      <c r="Z7" s="12">
        <v>34500</v>
      </c>
      <c r="AA7" s="12">
        <v>34500</v>
      </c>
      <c r="AB7" s="12">
        <v>34500</v>
      </c>
      <c r="AD7" s="71">
        <v>3</v>
      </c>
      <c r="AE7" s="72">
        <v>1106</v>
      </c>
      <c r="AF7" s="72">
        <v>2400</v>
      </c>
      <c r="AG7" s="72"/>
      <c r="AH7" s="72">
        <f t="shared" si="0"/>
        <v>2521680</v>
      </c>
      <c r="AI7" s="72">
        <f t="shared" si="1"/>
        <v>504336</v>
      </c>
      <c r="AJ7" s="72">
        <f t="shared" si="2"/>
        <v>126084</v>
      </c>
      <c r="AK7" s="72">
        <f t="shared" si="3"/>
        <v>2017344</v>
      </c>
      <c r="AL7" s="73">
        <f>PMT(+AH3/12, +AL4, -AK7)</f>
        <v>46940.066241507171</v>
      </c>
      <c r="AM7" s="73">
        <f>PMT(+AH3/12, +AM4, -AK7)</f>
        <v>41568.864910326389</v>
      </c>
      <c r="AN7" s="73">
        <f>PMT(+AH3/12, +AN4, -AK7)</f>
        <v>31322.581113117853</v>
      </c>
    </row>
    <row r="8" spans="1:40" ht="17.5">
      <c r="A8" s="120" t="s">
        <v>279</v>
      </c>
      <c r="B8" s="12"/>
      <c r="C8" s="12">
        <f>25*54.1</f>
        <v>1352.5</v>
      </c>
      <c r="D8" s="12">
        <v>1352</v>
      </c>
      <c r="E8" s="12">
        <v>2287</v>
      </c>
      <c r="F8" s="12">
        <v>17</v>
      </c>
      <c r="G8" s="12">
        <v>1147</v>
      </c>
      <c r="H8" s="12">
        <v>828</v>
      </c>
      <c r="I8" s="12">
        <v>0</v>
      </c>
      <c r="J8" s="12">
        <v>1200</v>
      </c>
      <c r="K8" s="12">
        <v>7.48</v>
      </c>
      <c r="L8" s="12">
        <v>1230</v>
      </c>
      <c r="M8" s="12">
        <v>1329</v>
      </c>
      <c r="N8" s="12">
        <v>2590</v>
      </c>
      <c r="O8" s="12">
        <v>3851</v>
      </c>
      <c r="P8" s="12">
        <v>5112</v>
      </c>
      <c r="Q8" s="12">
        <v>2200</v>
      </c>
      <c r="R8" s="12">
        <v>24</v>
      </c>
      <c r="S8" s="12">
        <v>1264</v>
      </c>
      <c r="T8" s="12">
        <v>1400</v>
      </c>
      <c r="U8" s="12">
        <v>1240</v>
      </c>
      <c r="V8" s="12">
        <v>2558</v>
      </c>
      <c r="W8" s="12">
        <v>740</v>
      </c>
      <c r="X8" s="12">
        <v>740</v>
      </c>
      <c r="Y8" s="12">
        <v>140</v>
      </c>
      <c r="Z8" s="12">
        <v>1400</v>
      </c>
      <c r="AA8" s="12">
        <v>2000</v>
      </c>
      <c r="AB8" s="12">
        <v>2000</v>
      </c>
      <c r="AD8" s="71">
        <v>4</v>
      </c>
      <c r="AE8" s="72">
        <v>986</v>
      </c>
      <c r="AF8" s="72">
        <v>2400</v>
      </c>
      <c r="AG8" s="72"/>
      <c r="AH8" s="72">
        <f t="shared" si="0"/>
        <v>2248080</v>
      </c>
      <c r="AI8" s="72">
        <f t="shared" si="1"/>
        <v>449616</v>
      </c>
      <c r="AJ8" s="72">
        <f t="shared" si="2"/>
        <v>112404</v>
      </c>
      <c r="AK8" s="72">
        <f t="shared" si="3"/>
        <v>1798464</v>
      </c>
      <c r="AL8" s="73">
        <f>PMT(+AH3/12, +AL4, -AK8)</f>
        <v>41847.111495593199</v>
      </c>
      <c r="AM8" s="73">
        <f>PMT(+AH3/12, +AM4, -AK8)</f>
        <v>37058.680652424795</v>
      </c>
      <c r="AN8" s="73">
        <f>PMT(+AH3/12, +AN4, -AK8)</f>
        <v>27924.109382942319</v>
      </c>
    </row>
    <row r="9" spans="1:40" ht="17.5">
      <c r="A9" s="120" t="s">
        <v>280</v>
      </c>
      <c r="B9" s="12"/>
      <c r="C9" s="12">
        <v>7500</v>
      </c>
      <c r="D9" s="12">
        <v>4500</v>
      </c>
      <c r="E9" s="12">
        <v>4375</v>
      </c>
      <c r="F9" s="12">
        <v>1045</v>
      </c>
      <c r="G9" s="12">
        <v>150</v>
      </c>
      <c r="H9" s="12">
        <v>2000</v>
      </c>
      <c r="I9" s="61">
        <v>1133</v>
      </c>
      <c r="J9" s="61">
        <v>333</v>
      </c>
      <c r="K9" s="61">
        <v>1413</v>
      </c>
      <c r="L9" s="61">
        <v>640</v>
      </c>
      <c r="M9" s="61">
        <v>640</v>
      </c>
      <c r="N9" s="61">
        <v>2266</v>
      </c>
      <c r="O9" s="61">
        <v>1546</v>
      </c>
      <c r="P9" s="61">
        <v>1226</v>
      </c>
      <c r="Q9" s="61">
        <v>500</v>
      </c>
      <c r="R9" s="61">
        <v>240</v>
      </c>
      <c r="S9" s="61">
        <v>300</v>
      </c>
      <c r="T9" s="12">
        <v>300</v>
      </c>
      <c r="U9" s="12">
        <v>450</v>
      </c>
      <c r="V9" s="12">
        <v>350</v>
      </c>
      <c r="W9" s="12">
        <v>700</v>
      </c>
      <c r="X9" s="12">
        <v>4308</v>
      </c>
      <c r="Y9" s="12">
        <v>4308</v>
      </c>
      <c r="Z9" s="12">
        <v>3486</v>
      </c>
      <c r="AA9" s="12">
        <v>300</v>
      </c>
      <c r="AB9" s="12">
        <v>300</v>
      </c>
      <c r="AD9" s="71">
        <v>5</v>
      </c>
      <c r="AE9" s="72">
        <v>1111</v>
      </c>
      <c r="AF9" s="72">
        <v>2200</v>
      </c>
      <c r="AG9" s="72"/>
      <c r="AH9" s="72">
        <f t="shared" si="0"/>
        <v>2321990</v>
      </c>
      <c r="AI9" s="72">
        <f t="shared" si="1"/>
        <v>464398</v>
      </c>
      <c r="AJ9" s="72">
        <f t="shared" si="2"/>
        <v>116099.5</v>
      </c>
      <c r="AK9" s="72">
        <f t="shared" si="3"/>
        <v>1857592</v>
      </c>
      <c r="AL9" s="73">
        <f>PMT(+AH3/12, +AL5, -AK9)</f>
        <v>21671.906666666666</v>
      </c>
      <c r="AM9" s="73">
        <f>PMT(+AH3/12, +AM4, -AK9)</f>
        <v>38277.05681653849</v>
      </c>
      <c r="AN9" s="73">
        <f>PMT(+AH3/12, +AN4, -AK9)</f>
        <v>28842.168760052235</v>
      </c>
    </row>
    <row r="10" spans="1:40" ht="17.5">
      <c r="A10" s="120" t="s">
        <v>281</v>
      </c>
      <c r="B10" s="12"/>
      <c r="C10" s="12">
        <f>+C8+C9+C7+C6</f>
        <v>8852.5</v>
      </c>
      <c r="D10" s="12">
        <f t="shared" ref="D10:S10" si="4">+D8+D9+D7+D6</f>
        <v>5852</v>
      </c>
      <c r="E10" s="12">
        <f t="shared" si="4"/>
        <v>6662</v>
      </c>
      <c r="F10" s="12">
        <f t="shared" si="4"/>
        <v>1062</v>
      </c>
      <c r="G10" s="12">
        <f t="shared" si="4"/>
        <v>1297</v>
      </c>
      <c r="H10" s="12">
        <f t="shared" si="4"/>
        <v>2828</v>
      </c>
      <c r="I10" s="12">
        <f t="shared" si="4"/>
        <v>1133</v>
      </c>
      <c r="J10" s="12">
        <f t="shared" si="4"/>
        <v>1533</v>
      </c>
      <c r="K10" s="12">
        <f t="shared" si="4"/>
        <v>1420.48</v>
      </c>
      <c r="L10" s="12">
        <f t="shared" si="4"/>
        <v>1870</v>
      </c>
      <c r="M10" s="12">
        <f t="shared" si="4"/>
        <v>1969</v>
      </c>
      <c r="N10" s="12">
        <f t="shared" si="4"/>
        <v>4856</v>
      </c>
      <c r="O10" s="12">
        <f t="shared" si="4"/>
        <v>5397</v>
      </c>
      <c r="P10" s="12">
        <f t="shared" si="4"/>
        <v>6338</v>
      </c>
      <c r="Q10" s="12">
        <f t="shared" si="4"/>
        <v>2700</v>
      </c>
      <c r="R10" s="12">
        <f t="shared" si="4"/>
        <v>264</v>
      </c>
      <c r="S10" s="12">
        <f t="shared" si="4"/>
        <v>1564</v>
      </c>
      <c r="T10" s="22">
        <f>+T8+T9+T7</f>
        <v>1700</v>
      </c>
      <c r="U10" s="22">
        <f>+U8+U9+U7</f>
        <v>1690</v>
      </c>
      <c r="V10" s="22">
        <f>+V8+V9+V7</f>
        <v>2908</v>
      </c>
      <c r="W10" s="22">
        <f>+W8+W9+W7</f>
        <v>1440</v>
      </c>
      <c r="X10" s="12">
        <f>+X8+X9+X7</f>
        <v>5048</v>
      </c>
      <c r="Y10" s="12">
        <f>+Y8+Y9+Y7+Y6</f>
        <v>39431</v>
      </c>
      <c r="Z10" s="12">
        <f>+Z8+Z9+Z7+Z6</f>
        <v>39869</v>
      </c>
      <c r="AA10" s="12">
        <f>+AA8+AA9+AA7+AA6</f>
        <v>40283</v>
      </c>
      <c r="AB10" s="12">
        <f>+AB8+AB9+AB7+AB6</f>
        <v>40283</v>
      </c>
      <c r="AD10" s="71">
        <v>6</v>
      </c>
      <c r="AE10" s="178">
        <v>964</v>
      </c>
      <c r="AF10" s="72">
        <v>2200</v>
      </c>
      <c r="AG10" s="72"/>
      <c r="AH10" s="72">
        <f t="shared" si="0"/>
        <v>2014760</v>
      </c>
      <c r="AI10" s="72">
        <f t="shared" si="1"/>
        <v>402952</v>
      </c>
      <c r="AJ10" s="72">
        <f t="shared" si="2"/>
        <v>100738</v>
      </c>
      <c r="AK10" s="72">
        <f t="shared" si="3"/>
        <v>1611808</v>
      </c>
      <c r="AL10" s="73">
        <f>PMT(+AH3/12, +AL6, -AK10)</f>
        <v>18804.426666666666</v>
      </c>
      <c r="AM10" s="73">
        <f>PMT(+AH3/12, +AM4, -AK10)</f>
        <v>33212.495743603155</v>
      </c>
      <c r="AN10" s="73">
        <f>PMT(+AH3/12, +AN4, -AK10)</f>
        <v>25025.968213042626</v>
      </c>
    </row>
    <row r="11" spans="1:40" ht="17.5">
      <c r="A11" s="120" t="s">
        <v>282</v>
      </c>
      <c r="B11" s="12"/>
      <c r="C11" s="12">
        <f t="shared" ref="C11:H11" si="5">SUM(C3:C4)</f>
        <v>70000</v>
      </c>
      <c r="D11" s="12">
        <f t="shared" si="5"/>
        <v>120000</v>
      </c>
      <c r="E11" s="12">
        <f t="shared" si="5"/>
        <v>349000</v>
      </c>
      <c r="F11" s="12">
        <f t="shared" si="5"/>
        <v>100000</v>
      </c>
      <c r="G11" s="12">
        <f t="shared" si="5"/>
        <v>130000</v>
      </c>
      <c r="H11" s="12">
        <f t="shared" si="5"/>
        <v>64000</v>
      </c>
      <c r="I11" s="12">
        <f t="shared" ref="I11:S11" si="6">+I3+I4</f>
        <v>60000</v>
      </c>
      <c r="J11" s="12">
        <f t="shared" si="6"/>
        <v>60000</v>
      </c>
      <c r="K11" s="12">
        <f t="shared" si="6"/>
        <v>228000</v>
      </c>
      <c r="L11" s="12">
        <f t="shared" si="6"/>
        <v>336000</v>
      </c>
      <c r="M11" s="12">
        <f t="shared" si="6"/>
        <v>330000</v>
      </c>
      <c r="N11" s="12">
        <f t="shared" si="6"/>
        <v>200000</v>
      </c>
      <c r="O11" s="12">
        <f t="shared" si="6"/>
        <v>237000</v>
      </c>
      <c r="P11" s="12">
        <f t="shared" si="6"/>
        <v>78300</v>
      </c>
      <c r="Q11" s="12">
        <f t="shared" si="6"/>
        <v>103000</v>
      </c>
      <c r="R11" s="12">
        <f t="shared" si="6"/>
        <v>103000</v>
      </c>
      <c r="S11" s="12">
        <f t="shared" si="6"/>
        <v>185000</v>
      </c>
      <c r="T11" s="12">
        <f t="shared" ref="T11:AA11" si="7">+T3+T4+T5</f>
        <v>48962</v>
      </c>
      <c r="U11" s="12">
        <f t="shared" si="7"/>
        <v>153000</v>
      </c>
      <c r="V11" s="12">
        <f t="shared" si="7"/>
        <v>1192772</v>
      </c>
      <c r="W11" s="12">
        <f t="shared" si="7"/>
        <v>1068784</v>
      </c>
      <c r="X11" s="12">
        <f t="shared" si="7"/>
        <v>2546592</v>
      </c>
      <c r="Y11" s="12">
        <f t="shared" si="7"/>
        <v>2201423</v>
      </c>
      <c r="Z11" s="12">
        <f t="shared" si="7"/>
        <v>498424</v>
      </c>
      <c r="AA11" s="12">
        <f t="shared" si="7"/>
        <v>75000</v>
      </c>
      <c r="AB11" s="12">
        <f t="shared" ref="AB11" si="8">+AB3+AB4+AB5</f>
        <v>75000</v>
      </c>
      <c r="AD11" s="71">
        <v>7</v>
      </c>
      <c r="AE11" s="72">
        <v>878</v>
      </c>
      <c r="AF11" s="72">
        <v>2200</v>
      </c>
      <c r="AG11" s="72"/>
      <c r="AH11" s="72">
        <f t="shared" si="0"/>
        <v>1835020</v>
      </c>
      <c r="AI11" s="72">
        <f t="shared" si="1"/>
        <v>367004</v>
      </c>
      <c r="AJ11" s="72">
        <f t="shared" si="2"/>
        <v>91751</v>
      </c>
      <c r="AK11" s="72">
        <f t="shared" si="3"/>
        <v>1468016</v>
      </c>
      <c r="AL11" s="73">
        <f>PMT(+AH3/12, +AL7, -AK11)</f>
        <v>17126.853333333333</v>
      </c>
      <c r="AM11" s="73">
        <f>PMT(+AH3/12, +AM4, -AK11)</f>
        <v>30249.555251953912</v>
      </c>
      <c r="AN11" s="73">
        <f>PMT(+AH3/12, +AN4, -AK11)</f>
        <v>22793.361090302307</v>
      </c>
    </row>
    <row r="12" spans="1:40" ht="17.5">
      <c r="A12" s="120" t="s">
        <v>993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>
        <f>+Z28*W1</f>
        <v>1709250</v>
      </c>
      <c r="AA12" s="12">
        <f>+AA28*W1</f>
        <v>1709250</v>
      </c>
      <c r="AB12" s="12">
        <f>+AB28*W1</f>
        <v>1709250</v>
      </c>
      <c r="AD12" s="71">
        <v>8</v>
      </c>
      <c r="AE12" s="178">
        <v>729</v>
      </c>
      <c r="AF12" s="72">
        <v>2200</v>
      </c>
      <c r="AG12" s="72"/>
      <c r="AH12" s="72">
        <f t="shared" si="0"/>
        <v>1523610</v>
      </c>
      <c r="AI12" s="72">
        <f t="shared" si="1"/>
        <v>304722</v>
      </c>
      <c r="AJ12" s="72">
        <f t="shared" si="2"/>
        <v>76180.5</v>
      </c>
      <c r="AK12" s="72">
        <f t="shared" si="3"/>
        <v>1218888</v>
      </c>
      <c r="AL12" s="73">
        <f>PMT(+AH3/12, +AL8, -AK12)</f>
        <v>14220.36</v>
      </c>
      <c r="AM12" s="73">
        <f>PMT(+AH3/12, +AM4, -AK12)</f>
        <v>25116.088586189519</v>
      </c>
      <c r="AN12" s="73">
        <f>PMT(+AH3/12, +AN4, -AK12)</f>
        <v>18925.239447415013</v>
      </c>
    </row>
    <row r="13" spans="1:40" ht="15.5">
      <c r="A13" s="120" t="s">
        <v>994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>
        <v>600000</v>
      </c>
      <c r="Z13" s="12">
        <v>600000</v>
      </c>
      <c r="AA13" s="12">
        <v>600000</v>
      </c>
      <c r="AB13" s="12">
        <v>600000</v>
      </c>
      <c r="AG13" t="s">
        <v>558</v>
      </c>
      <c r="AH13" s="74">
        <f>SUM(AH5:AH12)</f>
        <v>17750180</v>
      </c>
      <c r="AI13" s="74">
        <f>SUM(AI5:AI12)</f>
        <v>3550036</v>
      </c>
      <c r="AJ13" s="75">
        <f t="shared" si="2"/>
        <v>887509</v>
      </c>
      <c r="AL13" s="90">
        <f>SUM(AL5:AL12)</f>
        <v>258989.63357900543</v>
      </c>
      <c r="AM13" s="90">
        <f>SUM(AM5:AM12)</f>
        <v>292604.46787616872</v>
      </c>
      <c r="AN13" s="90">
        <f>SUM(AN5:AN12)</f>
        <v>220480.57359476309</v>
      </c>
    </row>
    <row r="14" spans="1:40" ht="15.5">
      <c r="A14" s="120" t="s">
        <v>283</v>
      </c>
      <c r="B14" s="12">
        <v>7500000</v>
      </c>
      <c r="C14" s="12">
        <v>7500000</v>
      </c>
      <c r="D14" s="12">
        <v>7500000</v>
      </c>
      <c r="E14" s="12">
        <v>8000000</v>
      </c>
      <c r="F14" s="12">
        <v>8000000</v>
      </c>
      <c r="G14" s="12">
        <v>8000000</v>
      </c>
      <c r="H14" s="12">
        <v>8000000</v>
      </c>
      <c r="I14" s="12">
        <f>+I31*56</f>
        <v>10077000</v>
      </c>
      <c r="J14" s="12">
        <f>+J31*58</f>
        <v>10471868</v>
      </c>
      <c r="K14" s="12">
        <v>10556000</v>
      </c>
      <c r="L14" s="12">
        <f>10556000+4500+7000</f>
        <v>10567500</v>
      </c>
      <c r="M14" s="12">
        <f>10556000+4500+7000+5000</f>
        <v>10572500</v>
      </c>
      <c r="N14" s="12">
        <f>10556000+4500+7000+10000</f>
        <v>10577500</v>
      </c>
      <c r="O14" s="12">
        <f>10556000+4500+7000+10000+70000</f>
        <v>10647500</v>
      </c>
      <c r="P14" s="12">
        <f>10556000+4500+7000+10000+70000+5000</f>
        <v>10652500</v>
      </c>
      <c r="Q14" s="12">
        <f>10652500+8000</f>
        <v>10660500</v>
      </c>
      <c r="R14" s="12">
        <f>10652500+8000+20000</f>
        <v>10680500</v>
      </c>
      <c r="S14" s="12">
        <f>10652500+8000+10000+300000</f>
        <v>10970500</v>
      </c>
      <c r="T14" s="12">
        <v>11000000</v>
      </c>
      <c r="U14" s="12">
        <v>11000000</v>
      </c>
      <c r="V14" s="12">
        <v>11000000</v>
      </c>
      <c r="W14" s="12">
        <f>11000000+29000</f>
        <v>11029000</v>
      </c>
      <c r="X14" s="12">
        <f>11000000+29000+26000</f>
        <v>11055000</v>
      </c>
      <c r="Y14" s="12">
        <f>11000000+29000+26000</f>
        <v>11055000</v>
      </c>
      <c r="Z14" s="12">
        <f>+Z31*W1</f>
        <v>11500737</v>
      </c>
      <c r="AA14" s="12">
        <f>+AA31*W1</f>
        <v>11500737</v>
      </c>
      <c r="AB14" s="12">
        <f>+AB31*W1</f>
        <v>11500737</v>
      </c>
      <c r="AD14" t="s">
        <v>922</v>
      </c>
      <c r="AE14" s="74">
        <f>+AE5+AE10+AE12</f>
        <v>2804</v>
      </c>
      <c r="AG14" t="s">
        <v>557</v>
      </c>
      <c r="AH14" s="89"/>
      <c r="AL14" s="74"/>
      <c r="AM14" s="74"/>
      <c r="AN14" s="74"/>
    </row>
    <row r="15" spans="1:40" ht="15.5">
      <c r="A15" s="12" t="s">
        <v>543</v>
      </c>
      <c r="B15" s="12"/>
      <c r="C15" s="12"/>
      <c r="D15" s="12"/>
      <c r="E15" s="12"/>
      <c r="F15" s="12"/>
      <c r="G15" s="12"/>
      <c r="H15" s="12"/>
      <c r="I15" s="12">
        <v>7040000</v>
      </c>
      <c r="J15" s="12">
        <f>+J32*58</f>
        <v>7326428.8200000003</v>
      </c>
      <c r="K15" s="12">
        <v>7429500</v>
      </c>
      <c r="L15" s="12">
        <f>7429500+13000+2500+180000*2.3</f>
        <v>7859000</v>
      </c>
      <c r="M15" s="12">
        <f>7859500+13000+2500+5000</f>
        <v>7880000</v>
      </c>
      <c r="N15" s="12">
        <f>7859500+13000+2500+50000</f>
        <v>7925000</v>
      </c>
      <c r="O15" s="12">
        <f>7859500+13000+2500+50000</f>
        <v>7925000</v>
      </c>
      <c r="P15" s="12">
        <f>5300*1510</f>
        <v>8003000</v>
      </c>
      <c r="Q15" s="12">
        <f>5300*1530</f>
        <v>8109000</v>
      </c>
      <c r="R15" s="12">
        <f>5300*1550</f>
        <v>8215000</v>
      </c>
      <c r="S15" s="12">
        <f>5300*1575</f>
        <v>8347500</v>
      </c>
      <c r="T15" s="12">
        <f>2110*2000</f>
        <v>4220000</v>
      </c>
      <c r="U15" s="12">
        <f>2110*2000</f>
        <v>4220000</v>
      </c>
      <c r="V15" s="12">
        <f>2110*2000</f>
        <v>4220000</v>
      </c>
      <c r="W15" s="12">
        <f>2110*2000</f>
        <v>4220000</v>
      </c>
      <c r="X15" s="12">
        <f>1494*2000</f>
        <v>2988000</v>
      </c>
      <c r="Y15" s="12">
        <f>1494*2100</f>
        <v>3137400</v>
      </c>
      <c r="Z15" s="12">
        <f>+Z32*W1</f>
        <v>3263893.5</v>
      </c>
      <c r="AA15" s="12">
        <v>0</v>
      </c>
      <c r="AB15" s="12">
        <v>0</v>
      </c>
      <c r="AD15" s="72">
        <f>1111*50*64</f>
        <v>3555200</v>
      </c>
      <c r="AE15" s="72">
        <f>1111*47*63</f>
        <v>3289671</v>
      </c>
      <c r="AF15">
        <f>47*63</f>
        <v>2961</v>
      </c>
      <c r="AH15" s="74"/>
      <c r="AL15" s="72"/>
      <c r="AM15" s="72"/>
      <c r="AN15" s="72"/>
    </row>
    <row r="16" spans="1:40">
      <c r="A16" s="120" t="s">
        <v>1025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>
        <f>1382*1200</f>
        <v>1658400</v>
      </c>
      <c r="U16" s="12">
        <f>1382*1200</f>
        <v>1658400</v>
      </c>
      <c r="V16" s="12">
        <f>1382*1200</f>
        <v>1658400</v>
      </c>
      <c r="W16" s="12">
        <f>1382*1200</f>
        <v>1658400</v>
      </c>
      <c r="X16" s="12">
        <f>1382*1300</f>
        <v>1796600</v>
      </c>
      <c r="Y16" s="12">
        <f>810*2000</f>
        <v>1620000</v>
      </c>
      <c r="Z16" s="12">
        <f>+Z34*W1</f>
        <v>1685320.5</v>
      </c>
      <c r="AA16" s="12">
        <v>5844400</v>
      </c>
      <c r="AB16" s="12">
        <v>5844400</v>
      </c>
      <c r="AD16">
        <f>+A72*990</f>
        <v>1821600</v>
      </c>
      <c r="AE16">
        <f>+A72*2400</f>
        <v>4416000</v>
      </c>
      <c r="AF16">
        <f>+AE16-AD16</f>
        <v>2594400</v>
      </c>
    </row>
    <row r="17" spans="1:40">
      <c r="A17" s="120" t="s">
        <v>1012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>
        <v>660000</v>
      </c>
      <c r="Y17" s="12">
        <v>652000</v>
      </c>
      <c r="Z17" s="12">
        <v>644000</v>
      </c>
      <c r="AA17" s="12">
        <v>644000</v>
      </c>
      <c r="AB17" s="12">
        <v>644000</v>
      </c>
    </row>
    <row r="18" spans="1:40" ht="18.5">
      <c r="A18" s="120" t="s">
        <v>542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>
        <f>1470*2100</f>
        <v>3087000</v>
      </c>
      <c r="U18" s="12">
        <f>1470*2100</f>
        <v>3087000</v>
      </c>
      <c r="V18" s="12">
        <f>1470*2100</f>
        <v>3087000</v>
      </c>
      <c r="W18" s="12">
        <f>1470*2175</f>
        <v>3197250</v>
      </c>
      <c r="X18" s="12">
        <f>1470*2300</f>
        <v>3381000</v>
      </c>
      <c r="Y18" s="12">
        <f>1470*2300</f>
        <v>3381000</v>
      </c>
      <c r="Z18" s="12">
        <f>+Z35*W1</f>
        <v>3517314</v>
      </c>
      <c r="AA18" s="12">
        <f>+AA35*W1</f>
        <v>3517314</v>
      </c>
      <c r="AB18" s="12">
        <f>+AB35*W1</f>
        <v>3517314</v>
      </c>
      <c r="AD18" s="194" t="s">
        <v>311</v>
      </c>
      <c r="AE18" s="194"/>
      <c r="AF18" s="194"/>
      <c r="AG18" s="194"/>
      <c r="AH18" s="194"/>
      <c r="AI18" s="194"/>
      <c r="AJ18" s="194"/>
      <c r="AK18" s="194"/>
      <c r="AL18" s="194"/>
      <c r="AM18" s="194"/>
      <c r="AN18" s="194"/>
    </row>
    <row r="19" spans="1:40" ht="15.5">
      <c r="A19" s="120" t="s">
        <v>285</v>
      </c>
      <c r="B19" s="12"/>
      <c r="C19" s="12"/>
      <c r="D19" s="12"/>
      <c r="E19" s="12"/>
      <c r="F19" s="12"/>
      <c r="G19" s="12"/>
      <c r="H19" s="12"/>
      <c r="I19" s="12">
        <f>+I36*56</f>
        <v>26509.999999999993</v>
      </c>
      <c r="J19" s="12">
        <f>+J36*58</f>
        <v>27456.785714285706</v>
      </c>
      <c r="K19" s="12">
        <v>32456</v>
      </c>
      <c r="L19" s="12">
        <v>33000</v>
      </c>
      <c r="M19" s="12">
        <v>33000</v>
      </c>
      <c r="N19" s="12">
        <f>33000+400*58</f>
        <v>56200</v>
      </c>
      <c r="O19" s="12">
        <v>183452</v>
      </c>
      <c r="P19" s="12">
        <f>183452+39830</f>
        <v>223282</v>
      </c>
      <c r="Q19" s="12">
        <f>223282+54830</f>
        <v>278112</v>
      </c>
      <c r="R19" s="12">
        <f>223282+54830</f>
        <v>278112</v>
      </c>
      <c r="S19" s="12">
        <f>223282+54830+127370+20000</f>
        <v>425482</v>
      </c>
      <c r="T19" s="12">
        <v>588807</v>
      </c>
      <c r="U19" s="12">
        <f>+T19-208807</f>
        <v>380000</v>
      </c>
      <c r="V19" s="12">
        <v>300000</v>
      </c>
      <c r="W19" s="12">
        <v>30000</v>
      </c>
      <c r="X19" s="12">
        <v>30000</v>
      </c>
      <c r="Y19" s="12">
        <v>30000</v>
      </c>
      <c r="Z19" s="12">
        <v>30000</v>
      </c>
      <c r="AA19" s="12">
        <v>30000</v>
      </c>
      <c r="AB19" s="12">
        <v>30000</v>
      </c>
      <c r="AD19" s="62"/>
      <c r="AE19" s="62"/>
      <c r="AF19" s="62"/>
      <c r="AG19" s="62"/>
      <c r="AH19" s="63" t="s">
        <v>302</v>
      </c>
      <c r="AI19" s="64">
        <v>0.14000000000000001</v>
      </c>
      <c r="AJ19" s="62"/>
      <c r="AK19" s="62"/>
      <c r="AL19" s="65" t="s">
        <v>303</v>
      </c>
      <c r="AM19" s="76"/>
      <c r="AN19" s="66"/>
    </row>
    <row r="20" spans="1:40" ht="29">
      <c r="A20" s="120" t="s">
        <v>286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2">
        <f>5605000+9100*30</f>
        <v>5878000</v>
      </c>
      <c r="M20" s="12">
        <f>8100*760</f>
        <v>6156000</v>
      </c>
      <c r="N20" s="12">
        <f>8100*780</f>
        <v>6318000</v>
      </c>
      <c r="O20" s="12">
        <f>8100*785</f>
        <v>6358500</v>
      </c>
      <c r="P20" s="12">
        <f>8000*795</f>
        <v>6360000</v>
      </c>
      <c r="Q20" s="12">
        <f>8000*805</f>
        <v>6440000</v>
      </c>
      <c r="R20" s="12">
        <f>8000*810</f>
        <v>6480000</v>
      </c>
      <c r="S20" s="12">
        <f>8000*830</f>
        <v>6640000</v>
      </c>
      <c r="T20" s="12">
        <f>8000*970</f>
        <v>7760000</v>
      </c>
      <c r="U20" s="12">
        <f>(8000-986)*977</f>
        <v>6852678</v>
      </c>
      <c r="V20" s="12">
        <f>(8000-986-1106-1207)*977-50000+4600+14000+32*300+2500+2500</f>
        <v>4576077</v>
      </c>
      <c r="W20" s="12">
        <f>(8000-986-1106-1207-878)*990-50000</f>
        <v>3734770</v>
      </c>
      <c r="X20" s="12">
        <f>2804*990</f>
        <v>2775960</v>
      </c>
      <c r="Y20" s="12">
        <f>2804*1100</f>
        <v>3084400</v>
      </c>
      <c r="Z20" s="12">
        <f>+Z37*W1</f>
        <v>3208746</v>
      </c>
      <c r="AA20" s="12">
        <f>+AA37*W1</f>
        <v>4521450</v>
      </c>
      <c r="AB20" s="12">
        <f>+AB37*W1</f>
        <v>4521450</v>
      </c>
      <c r="AD20" s="67"/>
      <c r="AE20" s="68" t="s">
        <v>304</v>
      </c>
      <c r="AF20" s="68" t="s">
        <v>305</v>
      </c>
      <c r="AG20" s="68" t="s">
        <v>306</v>
      </c>
      <c r="AH20" s="69" t="s">
        <v>307</v>
      </c>
      <c r="AI20" s="69" t="s">
        <v>308</v>
      </c>
      <c r="AJ20" s="69" t="s">
        <v>310</v>
      </c>
      <c r="AK20" s="77">
        <v>60</v>
      </c>
      <c r="AL20" s="77">
        <v>72</v>
      </c>
      <c r="AM20" s="77">
        <v>120</v>
      </c>
    </row>
    <row r="21" spans="1:40" ht="17.5">
      <c r="A21" s="120" t="s">
        <v>830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2"/>
      <c r="M21" s="12"/>
      <c r="N21" s="12"/>
      <c r="O21" s="12"/>
      <c r="P21" s="12"/>
      <c r="Q21" s="12"/>
      <c r="R21" s="12"/>
      <c r="S21" s="12"/>
      <c r="T21" s="12"/>
      <c r="U21" s="12">
        <v>1772000</v>
      </c>
      <c r="V21" s="12">
        <v>1772000</v>
      </c>
      <c r="W21" s="12">
        <v>1772000</v>
      </c>
      <c r="X21" s="12">
        <v>1772000</v>
      </c>
      <c r="Y21" s="12">
        <v>1772000</v>
      </c>
      <c r="Z21" s="12">
        <v>1772000</v>
      </c>
      <c r="AA21" s="12">
        <v>1772000</v>
      </c>
      <c r="AB21" s="12">
        <v>1772000</v>
      </c>
      <c r="AC21">
        <v>16</v>
      </c>
      <c r="AD21" s="71" t="s">
        <v>312</v>
      </c>
      <c r="AE21" s="12">
        <v>1473</v>
      </c>
      <c r="AF21" s="14"/>
      <c r="AG21" s="72"/>
      <c r="AH21" s="72">
        <v>3800000</v>
      </c>
      <c r="AI21" s="72">
        <v>1000000</v>
      </c>
      <c r="AJ21" s="72">
        <f>+AH21-AI21</f>
        <v>2800000</v>
      </c>
      <c r="AK21" s="78">
        <f>PMT(+AI19/12, +AK20, -AJ21)</f>
        <v>65151.102378285548</v>
      </c>
      <c r="AL21" s="78">
        <f>PMT(+AI19/12, +AL20, -AJ21)</f>
        <v>57696.07055064178</v>
      </c>
      <c r="AM21" s="78">
        <f>PMT(+AI19/12, +AM20, -AJ21)</f>
        <v>43474.60181145605</v>
      </c>
    </row>
    <row r="22" spans="1:40" ht="17.5">
      <c r="A22" s="120" t="s">
        <v>829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>
        <v>1122000</v>
      </c>
      <c r="W22" s="12">
        <v>1122000</v>
      </c>
      <c r="X22" s="12">
        <v>0</v>
      </c>
      <c r="Y22" s="12">
        <v>0</v>
      </c>
      <c r="Z22" s="12">
        <v>0</v>
      </c>
      <c r="AA22" s="12">
        <v>0</v>
      </c>
      <c r="AB22" s="12">
        <v>0</v>
      </c>
      <c r="AC22">
        <v>10</v>
      </c>
      <c r="AD22" s="71" t="s">
        <v>313</v>
      </c>
      <c r="AE22" s="12">
        <v>881</v>
      </c>
      <c r="AF22" s="14">
        <v>45</v>
      </c>
      <c r="AG22" s="72">
        <v>2500</v>
      </c>
      <c r="AH22" s="72">
        <f>+AG22*AE22</f>
        <v>2202500</v>
      </c>
      <c r="AI22" s="72">
        <f>+AH22*0.2</f>
        <v>440500</v>
      </c>
      <c r="AJ22" s="72">
        <f>+AH22-AI22</f>
        <v>1762000</v>
      </c>
      <c r="AK22" s="78">
        <f>PMT(+AI19/12, +AK20, -AJ22)</f>
        <v>40998.657996621121</v>
      </c>
      <c r="AL22" s="78">
        <f>PMT(+AJ19/12, +AL20, -AJ22)</f>
        <v>24472.222222222223</v>
      </c>
      <c r="AM22" s="78">
        <f>PMT(+AI19/12, +AM20, -AJ22)</f>
        <v>27357.945854209127</v>
      </c>
    </row>
    <row r="23" spans="1:40" ht="17.5">
      <c r="A23" s="120" t="s">
        <v>1011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>
        <f>1207*2200</f>
        <v>2655400</v>
      </c>
      <c r="W23" s="12">
        <f>1207*2200</f>
        <v>2655400</v>
      </c>
      <c r="X23" s="12">
        <f>1207*2200</f>
        <v>2655400</v>
      </c>
      <c r="Y23" s="12">
        <f>1207*2200</f>
        <v>2655400</v>
      </c>
      <c r="Z23" s="12">
        <f>+Z40*W1</f>
        <v>2762470.5</v>
      </c>
      <c r="AA23" s="12">
        <f>+AA40*W1</f>
        <v>2762470.5</v>
      </c>
      <c r="AB23" s="12">
        <f>+AB40*W1</f>
        <v>2762470.5</v>
      </c>
      <c r="AD23" s="71" t="s">
        <v>314</v>
      </c>
      <c r="AE23" s="12">
        <v>616</v>
      </c>
      <c r="AF23" s="14">
        <v>45</v>
      </c>
      <c r="AG23" s="72">
        <v>2500</v>
      </c>
      <c r="AH23" s="72">
        <f>+AG23*AE23</f>
        <v>1540000</v>
      </c>
      <c r="AI23" s="72">
        <f>+AH23*0.2</f>
        <v>308000</v>
      </c>
      <c r="AJ23" s="72">
        <f>+AH23-AI23</f>
        <v>1232000</v>
      </c>
      <c r="AK23" s="78">
        <f>PMT(+AI19/12, +AK20, -AJ23)</f>
        <v>28666.485046445643</v>
      </c>
      <c r="AL23" s="78">
        <f>PMT(+AI19/12, +AL20, -AJ23)</f>
        <v>25386.271042282387</v>
      </c>
      <c r="AM23" s="78">
        <f>PMT(+AI19/12, +AM20, -AJ23)</f>
        <v>19128.824797040663</v>
      </c>
    </row>
    <row r="24" spans="1:40" ht="17.5">
      <c r="A24" s="120" t="s">
        <v>1009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>
        <v>1333200</v>
      </c>
      <c r="Y24" s="12">
        <v>1333200</v>
      </c>
      <c r="Z24" s="12">
        <v>1321200</v>
      </c>
      <c r="AA24" s="12">
        <v>1321200</v>
      </c>
      <c r="AB24" s="12">
        <v>1321200</v>
      </c>
      <c r="AD24" s="71" t="s">
        <v>315</v>
      </c>
      <c r="AE24" s="12">
        <v>613</v>
      </c>
      <c r="AF24" s="14">
        <v>42</v>
      </c>
      <c r="AG24" s="72">
        <v>2500</v>
      </c>
      <c r="AH24" s="72">
        <f>+AG24*AE24</f>
        <v>1532500</v>
      </c>
      <c r="AI24" s="72">
        <f>+AH24*0.2</f>
        <v>306500</v>
      </c>
      <c r="AJ24" s="72">
        <f>+AH24-AI24</f>
        <v>1226000</v>
      </c>
      <c r="AK24" s="78">
        <f>PMT(+AI19/12, +AK20, -AJ24)</f>
        <v>28526.875541349313</v>
      </c>
      <c r="AL24" s="78">
        <f>PMT(+AI19/12, +AL20, -AJ24)</f>
        <v>25262.636605388154</v>
      </c>
      <c r="AM24" s="78">
        <f>PMT(+AI19/12, +AM20, -AJ24)</f>
        <v>19035.66493601611</v>
      </c>
    </row>
    <row r="25" spans="1:40" ht="17.5">
      <c r="A25" s="120" t="s">
        <v>1010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>
        <f>1931600-50000-50000</f>
        <v>1831600</v>
      </c>
      <c r="X25" s="12">
        <v>1781600</v>
      </c>
      <c r="Y25" s="12">
        <v>1781600</v>
      </c>
      <c r="Z25" s="12">
        <v>1781600</v>
      </c>
      <c r="AA25" s="12">
        <v>1781600</v>
      </c>
      <c r="AB25" s="12">
        <v>1781600</v>
      </c>
      <c r="AD25" s="71" t="s">
        <v>316</v>
      </c>
      <c r="AE25" s="12">
        <f>889+493</f>
        <v>1382</v>
      </c>
      <c r="AF25" s="14">
        <v>32</v>
      </c>
      <c r="AG25" s="72">
        <f>+AF25*62</f>
        <v>1984</v>
      </c>
      <c r="AH25" s="72">
        <f>+AG25*AE25</f>
        <v>2741888</v>
      </c>
      <c r="AI25" s="72">
        <f>+AH25*0.2</f>
        <v>548377.59999999998</v>
      </c>
      <c r="AJ25" s="72">
        <f>+AH25-AI25</f>
        <v>2193510.3999999999</v>
      </c>
      <c r="AK25" s="78">
        <f>PMT(+AI19/12, +AK20, -AJ25)</f>
        <v>51039.15022794075</v>
      </c>
      <c r="AL25" s="78">
        <f>PMT(+AI19/12, +AL20, -AJ25)</f>
        <v>45198.90385427374</v>
      </c>
      <c r="AM25" s="78">
        <f>PMT(+AI19/12, +AM20, -AJ25)</f>
        <v>34057.854003317021</v>
      </c>
    </row>
    <row r="26" spans="1:40" ht="15.5">
      <c r="A26" s="120" t="s">
        <v>292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2"/>
      <c r="M26" s="12"/>
      <c r="N26" s="12">
        <v>0</v>
      </c>
      <c r="O26" s="12">
        <v>0</v>
      </c>
      <c r="P26" s="12">
        <v>0</v>
      </c>
      <c r="Q26" s="12">
        <v>0</v>
      </c>
      <c r="R26" s="12">
        <v>0</v>
      </c>
      <c r="S26" s="12">
        <v>0</v>
      </c>
      <c r="T26" s="12">
        <v>510000</v>
      </c>
      <c r="U26" s="12">
        <v>521500</v>
      </c>
      <c r="V26" s="12">
        <v>527400</v>
      </c>
      <c r="W26" s="12">
        <v>503800</v>
      </c>
      <c r="X26" s="12">
        <v>240000</v>
      </c>
      <c r="Y26" s="12">
        <v>245700.18</v>
      </c>
      <c r="Z26" s="12">
        <v>245700.18</v>
      </c>
      <c r="AA26" s="12">
        <v>245700.18</v>
      </c>
      <c r="AB26" s="12">
        <v>245700.18</v>
      </c>
      <c r="AC26">
        <v>17</v>
      </c>
      <c r="AD26" s="160"/>
      <c r="AE26" s="74">
        <f>SUM(AE22:AE24)</f>
        <v>2110</v>
      </c>
    </row>
    <row r="27" spans="1:40">
      <c r="A27" s="120" t="s">
        <v>287</v>
      </c>
      <c r="B27" s="12"/>
      <c r="C27" s="12">
        <f t="shared" ref="C27:AA27" si="9">+C10</f>
        <v>8852.5</v>
      </c>
      <c r="D27" s="12">
        <f t="shared" si="9"/>
        <v>5852</v>
      </c>
      <c r="E27" s="12">
        <f t="shared" si="9"/>
        <v>6662</v>
      </c>
      <c r="F27" s="12">
        <f t="shared" si="9"/>
        <v>1062</v>
      </c>
      <c r="G27" s="12">
        <f t="shared" si="9"/>
        <v>1297</v>
      </c>
      <c r="H27" s="12">
        <f t="shared" si="9"/>
        <v>2828</v>
      </c>
      <c r="I27" s="12">
        <f t="shared" si="9"/>
        <v>1133</v>
      </c>
      <c r="J27" s="12">
        <f t="shared" si="9"/>
        <v>1533</v>
      </c>
      <c r="K27" s="12">
        <f t="shared" si="9"/>
        <v>1420.48</v>
      </c>
      <c r="L27" s="12">
        <f t="shared" si="9"/>
        <v>1870</v>
      </c>
      <c r="M27" s="12">
        <f t="shared" si="9"/>
        <v>1969</v>
      </c>
      <c r="N27" s="12">
        <f t="shared" si="9"/>
        <v>4856</v>
      </c>
      <c r="O27" s="12">
        <f t="shared" si="9"/>
        <v>5397</v>
      </c>
      <c r="P27" s="12">
        <f t="shared" si="9"/>
        <v>6338</v>
      </c>
      <c r="Q27" s="12">
        <f t="shared" si="9"/>
        <v>2700</v>
      </c>
      <c r="R27" s="12">
        <f t="shared" si="9"/>
        <v>264</v>
      </c>
      <c r="S27" s="12">
        <f t="shared" si="9"/>
        <v>1564</v>
      </c>
      <c r="T27" s="12">
        <f t="shared" si="9"/>
        <v>1700</v>
      </c>
      <c r="U27" s="12">
        <f t="shared" si="9"/>
        <v>1690</v>
      </c>
      <c r="V27" s="12">
        <f t="shared" si="9"/>
        <v>2908</v>
      </c>
      <c r="W27" s="12">
        <f t="shared" si="9"/>
        <v>1440</v>
      </c>
      <c r="X27" s="12">
        <f t="shared" si="9"/>
        <v>5048</v>
      </c>
      <c r="Y27" s="12">
        <f t="shared" si="9"/>
        <v>39431</v>
      </c>
      <c r="Z27" s="12">
        <f t="shared" si="9"/>
        <v>39869</v>
      </c>
      <c r="AA27" s="12">
        <f t="shared" si="9"/>
        <v>40283</v>
      </c>
      <c r="AB27" s="12">
        <f t="shared" ref="AB27" si="10">+AB10</f>
        <v>40283</v>
      </c>
      <c r="AE27" s="82">
        <f>+AE22+AE24</f>
        <v>1494</v>
      </c>
      <c r="AF27" s="74"/>
      <c r="AG27" s="74"/>
      <c r="AH27" s="91">
        <f>SUM(AH21:AH26)</f>
        <v>11816888</v>
      </c>
      <c r="AI27" s="91">
        <f>SUM(AI21:AI25)</f>
        <v>2603377.6</v>
      </c>
      <c r="AJ27" s="91">
        <f>SUM(AK22:AK25)</f>
        <v>149231.16881235683</v>
      </c>
      <c r="AK27" s="91">
        <f>SUM(AK21:AK26)</f>
        <v>214382.27119064241</v>
      </c>
      <c r="AL27" s="91">
        <f>SUM(AL21:AL26)</f>
        <v>178016.10427480831</v>
      </c>
      <c r="AM27" s="91">
        <f>SUM(AM21:AM26)</f>
        <v>143054.89140203898</v>
      </c>
    </row>
    <row r="28" spans="1:40">
      <c r="A28" s="120" t="s">
        <v>995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>
        <v>26500</v>
      </c>
      <c r="AA28" s="12">
        <v>26500</v>
      </c>
      <c r="AB28" s="12">
        <v>26500</v>
      </c>
      <c r="AL28" s="74"/>
      <c r="AM28" s="74"/>
      <c r="AN28" s="74"/>
    </row>
    <row r="29" spans="1:40">
      <c r="A29" s="120" t="s">
        <v>996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>
        <f>+Y13/W1</f>
        <v>9302.3255813953492</v>
      </c>
      <c r="Z29" s="12">
        <f>+Z13/W1</f>
        <v>9302.3255813953492</v>
      </c>
      <c r="AA29" s="12">
        <v>9000</v>
      </c>
      <c r="AB29" s="12">
        <v>9000</v>
      </c>
      <c r="AC29">
        <f>+AA29*65</f>
        <v>585000</v>
      </c>
      <c r="AG29" t="s">
        <v>557</v>
      </c>
      <c r="AH29" s="74"/>
    </row>
    <row r="30" spans="1:40">
      <c r="A30" s="120" t="s">
        <v>809</v>
      </c>
      <c r="B30" s="12"/>
      <c r="C30" s="12">
        <f>+C11/56</f>
        <v>1250</v>
      </c>
      <c r="D30" s="12">
        <f t="shared" ref="D30:K30" si="11">+D11/56</f>
        <v>2142.8571428571427</v>
      </c>
      <c r="E30" s="12">
        <f t="shared" si="11"/>
        <v>6232.1428571428569</v>
      </c>
      <c r="F30" s="12">
        <f t="shared" si="11"/>
        <v>1785.7142857142858</v>
      </c>
      <c r="G30" s="12">
        <f t="shared" si="11"/>
        <v>2321.4285714285716</v>
      </c>
      <c r="H30" s="12">
        <f t="shared" si="11"/>
        <v>1142.8571428571429</v>
      </c>
      <c r="I30" s="12">
        <f t="shared" si="11"/>
        <v>1071.4285714285713</v>
      </c>
      <c r="J30" s="12">
        <f t="shared" si="11"/>
        <v>1071.4285714285713</v>
      </c>
      <c r="K30" s="12">
        <f t="shared" si="11"/>
        <v>4071.4285714285716</v>
      </c>
      <c r="L30" s="12">
        <f t="shared" ref="L30:R30" si="12">+L11/58.75</f>
        <v>5719.1489361702124</v>
      </c>
      <c r="M30" s="12">
        <f t="shared" si="12"/>
        <v>5617.0212765957449</v>
      </c>
      <c r="N30" s="12">
        <f t="shared" si="12"/>
        <v>3404.255319148936</v>
      </c>
      <c r="O30" s="12">
        <f t="shared" si="12"/>
        <v>4034.0425531914893</v>
      </c>
      <c r="P30" s="12">
        <f t="shared" si="12"/>
        <v>1332.7659574468084</v>
      </c>
      <c r="Q30" s="12">
        <f t="shared" si="12"/>
        <v>1753.1914893617022</v>
      </c>
      <c r="R30" s="12">
        <f t="shared" si="12"/>
        <v>1753.1914893617022</v>
      </c>
      <c r="S30" s="12">
        <f>+S11/60</f>
        <v>3083.3333333333335</v>
      </c>
      <c r="T30" s="12">
        <f t="shared" ref="T30:X30" si="13">+T11/62</f>
        <v>789.70967741935488</v>
      </c>
      <c r="U30" s="12">
        <f t="shared" si="13"/>
        <v>2467.7419354838707</v>
      </c>
      <c r="V30" s="12">
        <f t="shared" si="13"/>
        <v>19238.258064516129</v>
      </c>
      <c r="W30" s="12">
        <f t="shared" si="13"/>
        <v>17238.451612903227</v>
      </c>
      <c r="X30" s="12">
        <f t="shared" si="13"/>
        <v>41074.06451612903</v>
      </c>
      <c r="Y30" s="12">
        <f>+Y11/62</f>
        <v>35506.822580645159</v>
      </c>
      <c r="Z30" s="12">
        <f>+Z11/W1</f>
        <v>7727.5038759689924</v>
      </c>
      <c r="AA30" s="12">
        <f>+AA11/W1</f>
        <v>1162.7906976744187</v>
      </c>
      <c r="AB30" s="12">
        <f>+AB11/W1</f>
        <v>1162.7906976744187</v>
      </c>
      <c r="AC30">
        <f>43*60</f>
        <v>2580</v>
      </c>
      <c r="AL30" s="74">
        <f>+AL28+AK27*AK20</f>
        <v>12862936.271438545</v>
      </c>
      <c r="AM30" s="74"/>
      <c r="AN30" s="74">
        <f>+AN28+AM27*AL20</f>
        <v>10299952.180946806</v>
      </c>
    </row>
    <row r="31" spans="1:40">
      <c r="A31" s="120" t="s">
        <v>289</v>
      </c>
      <c r="B31" s="12"/>
      <c r="C31" s="12">
        <f t="shared" ref="C31:H31" si="14">+C14/56</f>
        <v>133928.57142857142</v>
      </c>
      <c r="D31" s="12">
        <f t="shared" si="14"/>
        <v>133928.57142857142</v>
      </c>
      <c r="E31" s="12">
        <f t="shared" si="14"/>
        <v>142857.14285714287</v>
      </c>
      <c r="F31" s="12">
        <f t="shared" si="14"/>
        <v>142857.14285714287</v>
      </c>
      <c r="G31" s="12">
        <f t="shared" si="14"/>
        <v>142857.14285714287</v>
      </c>
      <c r="H31" s="12">
        <f t="shared" si="14"/>
        <v>142857.14285714287</v>
      </c>
      <c r="I31" s="12">
        <f>10077000/56</f>
        <v>179946.42857142858</v>
      </c>
      <c r="J31" s="12">
        <f>179946+35000/58</f>
        <v>180549.44827586206</v>
      </c>
      <c r="K31" s="12">
        <f>+K14/55.8</f>
        <v>189175.62724014337</v>
      </c>
      <c r="L31" s="12">
        <f t="shared" ref="L31:N32" si="15">+L14/58.5</f>
        <v>180641.02564102566</v>
      </c>
      <c r="M31" s="12">
        <f t="shared" si="15"/>
        <v>180726.49572649572</v>
      </c>
      <c r="N31" s="12">
        <f t="shared" si="15"/>
        <v>180811.96581196581</v>
      </c>
      <c r="O31" s="12">
        <f t="shared" ref="O31:R32" si="16">+O14/58.75</f>
        <v>181234.04255319148</v>
      </c>
      <c r="P31" s="12">
        <f t="shared" si="16"/>
        <v>181319.14893617021</v>
      </c>
      <c r="Q31" s="12">
        <f t="shared" si="16"/>
        <v>181455.31914893616</v>
      </c>
      <c r="R31" s="12">
        <f t="shared" si="16"/>
        <v>181795.74468085106</v>
      </c>
      <c r="S31" s="12">
        <f>+S14/60</f>
        <v>182841.66666666666</v>
      </c>
      <c r="T31" s="12">
        <f t="shared" ref="T31:X32" si="17">+T14/62</f>
        <v>177419.35483870967</v>
      </c>
      <c r="U31" s="12">
        <f t="shared" si="17"/>
        <v>177419.35483870967</v>
      </c>
      <c r="V31" s="12">
        <f t="shared" si="17"/>
        <v>177419.35483870967</v>
      </c>
      <c r="W31" s="12">
        <f t="shared" si="17"/>
        <v>177887.09677419355</v>
      </c>
      <c r="X31" s="12">
        <f t="shared" si="17"/>
        <v>178306.45161290321</v>
      </c>
      <c r="Y31" s="12">
        <f>+Y14/62</f>
        <v>178306.45161290321</v>
      </c>
      <c r="Z31" s="12">
        <v>178306</v>
      </c>
      <c r="AA31" s="12">
        <v>178306</v>
      </c>
      <c r="AB31" s="12">
        <v>178306</v>
      </c>
      <c r="AF31">
        <v>45</v>
      </c>
      <c r="AG31">
        <f>+AF31*60</f>
        <v>2700</v>
      </c>
    </row>
    <row r="32" spans="1:40">
      <c r="A32" s="120" t="s">
        <v>803</v>
      </c>
      <c r="B32" s="12"/>
      <c r="C32" s="12"/>
      <c r="D32" s="12">
        <f>+AE2</f>
        <v>0</v>
      </c>
      <c r="E32" s="12"/>
      <c r="F32" s="12"/>
      <c r="G32" s="12"/>
      <c r="H32" s="12"/>
      <c r="I32" s="12">
        <f>I15/56</f>
        <v>125714.28571428571</v>
      </c>
      <c r="J32" s="12">
        <f>125714.29+35000/58</f>
        <v>126317.73827586207</v>
      </c>
      <c r="K32" s="12">
        <f>+K15/58.5</f>
        <v>127000</v>
      </c>
      <c r="L32" s="12">
        <f t="shared" si="15"/>
        <v>134341.88034188034</v>
      </c>
      <c r="M32" s="12">
        <f t="shared" si="15"/>
        <v>134700.85470085469</v>
      </c>
      <c r="N32" s="12">
        <f t="shared" si="15"/>
        <v>135470.08547008547</v>
      </c>
      <c r="O32" s="12">
        <f t="shared" si="16"/>
        <v>134893.61702127659</v>
      </c>
      <c r="P32" s="12">
        <f t="shared" si="16"/>
        <v>136221.27659574468</v>
      </c>
      <c r="Q32" s="12">
        <f t="shared" si="16"/>
        <v>138025.53191489363</v>
      </c>
      <c r="R32" s="12">
        <f t="shared" si="16"/>
        <v>139829.78723404257</v>
      </c>
      <c r="S32" s="12">
        <f>+S15/60</f>
        <v>139125</v>
      </c>
      <c r="T32" s="12">
        <f t="shared" si="17"/>
        <v>68064.516129032258</v>
      </c>
      <c r="U32" s="12">
        <f t="shared" si="17"/>
        <v>68064.516129032258</v>
      </c>
      <c r="V32" s="12">
        <f t="shared" si="17"/>
        <v>68064.516129032258</v>
      </c>
      <c r="W32" s="12">
        <f t="shared" si="17"/>
        <v>68064.516129032258</v>
      </c>
      <c r="X32" s="12">
        <f t="shared" si="17"/>
        <v>48193.548387096773</v>
      </c>
      <c r="Y32" s="12">
        <f>+Y15/62</f>
        <v>50603.225806451614</v>
      </c>
      <c r="Z32" s="12">
        <v>50603</v>
      </c>
      <c r="AA32" s="12">
        <v>0</v>
      </c>
      <c r="AB32" s="12">
        <v>0</v>
      </c>
      <c r="AF32">
        <v>42</v>
      </c>
      <c r="AG32">
        <f>+AF32*60</f>
        <v>2520</v>
      </c>
    </row>
    <row r="33" spans="1:34">
      <c r="A33" s="120" t="s">
        <v>916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>
        <f>+X17/62</f>
        <v>10645.161290322581</v>
      </c>
      <c r="Y33" s="12">
        <f>+Y17/62</f>
        <v>10516.129032258064</v>
      </c>
      <c r="Z33" s="12">
        <f>+Z17/W1</f>
        <v>9984.4961240310076</v>
      </c>
      <c r="AA33" s="12">
        <f>+AA17/W1</f>
        <v>9984.4961240310076</v>
      </c>
      <c r="AB33" s="12">
        <f>+AB17/W1</f>
        <v>9984.4961240310076</v>
      </c>
      <c r="AF33">
        <v>40</v>
      </c>
      <c r="AG33">
        <f>+AF33*60</f>
        <v>2400</v>
      </c>
    </row>
    <row r="34" spans="1:34">
      <c r="A34" s="120" t="s">
        <v>1024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>
        <f t="shared" ref="T34:Y34" si="18">+T16/62</f>
        <v>26748.387096774193</v>
      </c>
      <c r="U34" s="12">
        <f t="shared" si="18"/>
        <v>26748.387096774193</v>
      </c>
      <c r="V34" s="12">
        <f t="shared" si="18"/>
        <v>26748.387096774193</v>
      </c>
      <c r="W34" s="12">
        <f t="shared" si="18"/>
        <v>26748.387096774193</v>
      </c>
      <c r="X34" s="12">
        <f t="shared" si="18"/>
        <v>28977.419354838708</v>
      </c>
      <c r="Y34" s="12">
        <f t="shared" si="18"/>
        <v>26129.032258064515</v>
      </c>
      <c r="Z34" s="12">
        <v>26129</v>
      </c>
      <c r="AA34" s="12">
        <f>+AA16/W1</f>
        <v>90610.85271317829</v>
      </c>
      <c r="AB34" s="12">
        <f>+AB16/W1</f>
        <v>90610.85271317829</v>
      </c>
    </row>
    <row r="35" spans="1:34" ht="15.5">
      <c r="A35" s="120" t="s">
        <v>806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>
        <f t="shared" ref="T35:X37" si="19">+T18/62</f>
        <v>49790.322580645159</v>
      </c>
      <c r="U35" s="12">
        <f t="shared" si="19"/>
        <v>49790.322580645159</v>
      </c>
      <c r="V35" s="12">
        <f t="shared" si="19"/>
        <v>49790.322580645159</v>
      </c>
      <c r="W35" s="12">
        <f t="shared" si="19"/>
        <v>51568.548387096773</v>
      </c>
      <c r="X35" s="12">
        <f t="shared" si="19"/>
        <v>54532.258064516129</v>
      </c>
      <c r="Y35" s="12">
        <f>+Y18/62</f>
        <v>54532.258064516129</v>
      </c>
      <c r="Z35" s="12">
        <v>54532</v>
      </c>
      <c r="AA35" s="12">
        <v>54532</v>
      </c>
      <c r="AB35" s="12">
        <v>54532</v>
      </c>
      <c r="AC35">
        <v>34</v>
      </c>
      <c r="AD35" s="71" t="s">
        <v>316</v>
      </c>
      <c r="AE35" s="12">
        <v>889</v>
      </c>
      <c r="AF35" s="14">
        <v>42</v>
      </c>
      <c r="AG35" s="72">
        <f>+AF35*60</f>
        <v>2520</v>
      </c>
      <c r="AH35" s="72">
        <f>+AE35*AF35*60*0.95</f>
        <v>2128266</v>
      </c>
    </row>
    <row r="36" spans="1:34">
      <c r="A36" s="120" t="s">
        <v>290</v>
      </c>
      <c r="B36" s="12"/>
      <c r="C36" s="12"/>
      <c r="D36" s="12"/>
      <c r="E36" s="12"/>
      <c r="F36" s="12"/>
      <c r="G36" s="12"/>
      <c r="H36" s="12">
        <f>4755+4755</f>
        <v>9510</v>
      </c>
      <c r="I36" s="12">
        <v>473.392857142857</v>
      </c>
      <c r="J36" s="12">
        <v>473.392857142857</v>
      </c>
      <c r="K36" s="12">
        <f>+K19/58.5</f>
        <v>554.80341880341882</v>
      </c>
      <c r="L36" s="12">
        <f>+L19/58.5</f>
        <v>564.10256410256409</v>
      </c>
      <c r="M36" s="12">
        <f>+M19/58.5</f>
        <v>564.10256410256409</v>
      </c>
      <c r="N36" s="12">
        <f>+N19/58.5</f>
        <v>960.68376068376074</v>
      </c>
      <c r="O36" s="12">
        <f t="shared" ref="O36:R37" si="20">+O19/58.75</f>
        <v>3122.5872340425531</v>
      </c>
      <c r="P36" s="12">
        <f t="shared" si="20"/>
        <v>3800.5446808510637</v>
      </c>
      <c r="Q36" s="12">
        <f t="shared" si="20"/>
        <v>4733.8212765957451</v>
      </c>
      <c r="R36" s="12">
        <f t="shared" si="20"/>
        <v>4733.8212765957451</v>
      </c>
      <c r="S36" s="12">
        <f>+S19/60</f>
        <v>7091.3666666666668</v>
      </c>
      <c r="T36" s="12">
        <f t="shared" si="19"/>
        <v>9496.8870967741932</v>
      </c>
      <c r="U36" s="12">
        <f t="shared" si="19"/>
        <v>6129.0322580645161</v>
      </c>
      <c r="V36" s="12">
        <f t="shared" si="19"/>
        <v>4838.7096774193551</v>
      </c>
      <c r="W36" s="12">
        <f t="shared" si="19"/>
        <v>483.87096774193549</v>
      </c>
      <c r="X36" s="12">
        <f t="shared" si="19"/>
        <v>483.87096774193549</v>
      </c>
      <c r="Y36" s="12">
        <f t="shared" ref="Y36:Y42" si="21">+Y19/62</f>
        <v>483.87096774193549</v>
      </c>
      <c r="Z36" s="12">
        <f>+Z19/W1</f>
        <v>465.11627906976742</v>
      </c>
      <c r="AA36" s="12">
        <f>+AA19/W1</f>
        <v>465.11627906976742</v>
      </c>
      <c r="AB36" s="12">
        <f>+AB19/W1</f>
        <v>465.11627906976742</v>
      </c>
      <c r="AC36">
        <v>24</v>
      </c>
    </row>
    <row r="37" spans="1:34">
      <c r="A37" s="120" t="s">
        <v>291</v>
      </c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>
        <f>+L20/58.5</f>
        <v>100478.63247863248</v>
      </c>
      <c r="M37" s="12">
        <f>+M20/58.5</f>
        <v>105230.76923076923</v>
      </c>
      <c r="N37" s="12">
        <f>+N20/58.5</f>
        <v>108000</v>
      </c>
      <c r="O37" s="12">
        <f t="shared" si="20"/>
        <v>108229.78723404255</v>
      </c>
      <c r="P37" s="12">
        <f t="shared" si="20"/>
        <v>108255.31914893616</v>
      </c>
      <c r="Q37" s="12">
        <f t="shared" si="20"/>
        <v>109617.02127659574</v>
      </c>
      <c r="R37" s="12">
        <f t="shared" si="20"/>
        <v>110297.87234042553</v>
      </c>
      <c r="S37" s="12">
        <f>+S20/60</f>
        <v>110666.66666666667</v>
      </c>
      <c r="T37" s="12">
        <f t="shared" si="19"/>
        <v>125161.29032258065</v>
      </c>
      <c r="U37" s="12">
        <f t="shared" si="19"/>
        <v>110527.06451612903</v>
      </c>
      <c r="V37" s="12">
        <f t="shared" si="19"/>
        <v>73807.693548387091</v>
      </c>
      <c r="W37" s="12">
        <f t="shared" si="19"/>
        <v>60238.225806451614</v>
      </c>
      <c r="X37" s="12">
        <f t="shared" si="19"/>
        <v>44773.548387096773</v>
      </c>
      <c r="Y37" s="12">
        <f t="shared" si="21"/>
        <v>49748.387096774197</v>
      </c>
      <c r="Z37" s="12">
        <v>49748</v>
      </c>
      <c r="AA37" s="12">
        <f>2804*25</f>
        <v>70100</v>
      </c>
      <c r="AB37" s="12">
        <f>2804*25</f>
        <v>70100</v>
      </c>
      <c r="AC37">
        <v>49748</v>
      </c>
    </row>
    <row r="38" spans="1:34">
      <c r="A38" s="120" t="s">
        <v>1014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35">
        <f>+U21/62</f>
        <v>28580.645161290322</v>
      </c>
      <c r="V38" s="135">
        <f>+V21/62</f>
        <v>28580.645161290322</v>
      </c>
      <c r="W38" s="135">
        <f>+W21/62</f>
        <v>28580.645161290322</v>
      </c>
      <c r="X38" s="135">
        <f>+X21/62</f>
        <v>28580.645161290322</v>
      </c>
      <c r="Y38" s="135">
        <f t="shared" si="21"/>
        <v>28580.645161290322</v>
      </c>
      <c r="Z38" s="135">
        <f>+Z21/W1</f>
        <v>27472.868217054263</v>
      </c>
      <c r="AA38" s="135">
        <f>+AA21/W1</f>
        <v>27472.868217054263</v>
      </c>
      <c r="AB38" s="135">
        <f>+AB21/W1</f>
        <v>27472.868217054263</v>
      </c>
      <c r="AC38">
        <f>+AC37/2804</f>
        <v>17.741797432239657</v>
      </c>
      <c r="AD38">
        <f>25*65</f>
        <v>1625</v>
      </c>
    </row>
    <row r="39" spans="1:34">
      <c r="A39" s="120" t="s">
        <v>1017</v>
      </c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35"/>
      <c r="V39" s="135">
        <f t="shared" ref="V39:X40" si="22">+V22/62</f>
        <v>18096.774193548386</v>
      </c>
      <c r="W39" s="135">
        <f t="shared" si="22"/>
        <v>18096.774193548386</v>
      </c>
      <c r="X39" s="135">
        <f t="shared" si="22"/>
        <v>0</v>
      </c>
      <c r="Y39" s="135">
        <f t="shared" si="21"/>
        <v>0</v>
      </c>
      <c r="Z39" s="135">
        <f>+Z22/W1</f>
        <v>0</v>
      </c>
      <c r="AA39" s="135">
        <v>0</v>
      </c>
      <c r="AB39" s="135">
        <v>0</v>
      </c>
      <c r="AC39">
        <f>31*60</f>
        <v>1860</v>
      </c>
    </row>
    <row r="40" spans="1:34">
      <c r="A40" s="120" t="s">
        <v>1013</v>
      </c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35"/>
      <c r="V40" s="135">
        <f t="shared" si="22"/>
        <v>42829.032258064515</v>
      </c>
      <c r="W40" s="135">
        <f t="shared" si="22"/>
        <v>42829.032258064515</v>
      </c>
      <c r="X40" s="135">
        <f t="shared" si="22"/>
        <v>42829.032258064515</v>
      </c>
      <c r="Y40" s="135">
        <f t="shared" si="21"/>
        <v>42829.032258064515</v>
      </c>
      <c r="Z40" s="135">
        <v>42829</v>
      </c>
      <c r="AA40" s="135">
        <v>42829</v>
      </c>
      <c r="AB40" s="135">
        <v>42829</v>
      </c>
    </row>
    <row r="41" spans="1:34">
      <c r="A41" s="120" t="s">
        <v>1016</v>
      </c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35"/>
      <c r="V41" s="135"/>
      <c r="W41" s="135"/>
      <c r="X41" s="135">
        <f>+X24/62</f>
        <v>21503.225806451614</v>
      </c>
      <c r="Y41" s="135">
        <f t="shared" si="21"/>
        <v>21503.225806451614</v>
      </c>
      <c r="Z41" s="135">
        <v>21503</v>
      </c>
      <c r="AA41" s="135">
        <v>21503</v>
      </c>
      <c r="AB41" s="135">
        <v>21503</v>
      </c>
    </row>
    <row r="42" spans="1:34">
      <c r="A42" s="120" t="s">
        <v>1015</v>
      </c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35"/>
      <c r="V42" s="135"/>
      <c r="W42" s="135">
        <f>+W25/62</f>
        <v>29541.935483870966</v>
      </c>
      <c r="X42" s="135">
        <f>+X25/62</f>
        <v>28735.483870967742</v>
      </c>
      <c r="Y42" s="135">
        <f t="shared" si="21"/>
        <v>28735.483870967742</v>
      </c>
      <c r="Z42" s="135">
        <f>+Z25/W1</f>
        <v>27621.705426356588</v>
      </c>
      <c r="AA42" s="135">
        <f>+AA25/W1</f>
        <v>27621.705426356588</v>
      </c>
      <c r="AB42" s="135">
        <f>+AB25/W1</f>
        <v>27621.705426356588</v>
      </c>
    </row>
    <row r="43" spans="1:34">
      <c r="A43" s="120" t="s">
        <v>293</v>
      </c>
      <c r="B43" s="12">
        <f>+B26/56</f>
        <v>0</v>
      </c>
      <c r="C43" s="12">
        <f t="shared" ref="C43:S43" si="23">+C26/56</f>
        <v>0</v>
      </c>
      <c r="D43" s="12">
        <f t="shared" si="23"/>
        <v>0</v>
      </c>
      <c r="E43" s="12">
        <f t="shared" si="23"/>
        <v>0</v>
      </c>
      <c r="F43" s="12">
        <f t="shared" si="23"/>
        <v>0</v>
      </c>
      <c r="G43" s="12">
        <f t="shared" si="23"/>
        <v>0</v>
      </c>
      <c r="H43" s="12">
        <f t="shared" si="23"/>
        <v>0</v>
      </c>
      <c r="I43" s="12">
        <f t="shared" si="23"/>
        <v>0</v>
      </c>
      <c r="J43" s="12">
        <f t="shared" si="23"/>
        <v>0</v>
      </c>
      <c r="K43" s="12">
        <f t="shared" si="23"/>
        <v>0</v>
      </c>
      <c r="L43" s="12">
        <f t="shared" si="23"/>
        <v>0</v>
      </c>
      <c r="M43" s="12">
        <f t="shared" si="23"/>
        <v>0</v>
      </c>
      <c r="N43" s="12">
        <f t="shared" si="23"/>
        <v>0</v>
      </c>
      <c r="O43" s="12">
        <f t="shared" si="23"/>
        <v>0</v>
      </c>
      <c r="P43" s="12">
        <f t="shared" si="23"/>
        <v>0</v>
      </c>
      <c r="Q43" s="12">
        <f t="shared" si="23"/>
        <v>0</v>
      </c>
      <c r="R43" s="12">
        <f t="shared" si="23"/>
        <v>0</v>
      </c>
      <c r="S43" s="12">
        <f t="shared" si="23"/>
        <v>0</v>
      </c>
      <c r="T43" s="12">
        <f t="shared" ref="T43:Y43" si="24">+T26/61</f>
        <v>8360.6557377049176</v>
      </c>
      <c r="U43" s="12">
        <f t="shared" si="24"/>
        <v>8549.1803278688531</v>
      </c>
      <c r="V43" s="12">
        <f t="shared" si="24"/>
        <v>8645.9016393442616</v>
      </c>
      <c r="W43" s="12">
        <f t="shared" si="24"/>
        <v>8259.0163934426237</v>
      </c>
      <c r="X43" s="12">
        <f t="shared" si="24"/>
        <v>3934.4262295081967</v>
      </c>
      <c r="Y43" s="12">
        <f t="shared" si="24"/>
        <v>4027.8718032786883</v>
      </c>
      <c r="Z43" s="12">
        <f>+Z26/W1</f>
        <v>3809.3051162790698</v>
      </c>
      <c r="AA43" s="12">
        <f>+AA26/W1</f>
        <v>3809.3051162790698</v>
      </c>
      <c r="AB43" s="12">
        <f>+AB26/W1</f>
        <v>3809.3051162790698</v>
      </c>
    </row>
    <row r="44" spans="1:34">
      <c r="A44" s="120" t="s">
        <v>298</v>
      </c>
      <c r="B44" s="12"/>
      <c r="C44" s="12">
        <f>SUM(C27:C43)</f>
        <v>144031.07142857142</v>
      </c>
      <c r="D44" s="12">
        <f t="shared" ref="D44:AA44" si="25">SUM(D27:D43)</f>
        <v>141923.42857142855</v>
      </c>
      <c r="E44" s="12">
        <f t="shared" si="25"/>
        <v>155751.28571428574</v>
      </c>
      <c r="F44" s="12">
        <f t="shared" si="25"/>
        <v>145704.85714285716</v>
      </c>
      <c r="G44" s="12">
        <f t="shared" si="25"/>
        <v>146475.57142857145</v>
      </c>
      <c r="H44" s="12">
        <f t="shared" si="25"/>
        <v>156338</v>
      </c>
      <c r="I44" s="12">
        <f t="shared" si="25"/>
        <v>308338.53571428568</v>
      </c>
      <c r="J44" s="12">
        <f t="shared" si="25"/>
        <v>309945.00798029557</v>
      </c>
      <c r="K44" s="12">
        <f t="shared" si="25"/>
        <v>322222.33923037536</v>
      </c>
      <c r="L44" s="12">
        <f t="shared" si="25"/>
        <v>423614.78996181127</v>
      </c>
      <c r="M44" s="12">
        <f t="shared" si="25"/>
        <v>428808.24349881796</v>
      </c>
      <c r="N44" s="12">
        <f t="shared" si="25"/>
        <v>433502.990361884</v>
      </c>
      <c r="O44" s="12">
        <f t="shared" ref="O44" si="26">SUM(O27:O43)</f>
        <v>436911.07659574464</v>
      </c>
      <c r="P44" s="12">
        <f t="shared" ref="P44" si="27">SUM(P27:P43)</f>
        <v>437267.05531914893</v>
      </c>
      <c r="Q44" s="12">
        <f t="shared" ref="Q44" si="28">SUM(Q27:Q43)</f>
        <v>438284.88510638301</v>
      </c>
      <c r="R44" s="12">
        <f t="shared" ref="R44" si="29">SUM(R27:R43)</f>
        <v>438674.41702127666</v>
      </c>
      <c r="S44" s="12">
        <f t="shared" ref="S44" si="30">SUM(S27:S43)</f>
        <v>444372.03333333333</v>
      </c>
      <c r="T44" s="12">
        <f t="shared" si="25"/>
        <v>467531.12347964034</v>
      </c>
      <c r="U44" s="12">
        <f t="shared" si="25"/>
        <v>479966.24484399788</v>
      </c>
      <c r="V44" s="12">
        <f t="shared" si="25"/>
        <v>520967.59518773132</v>
      </c>
      <c r="W44" s="12">
        <f t="shared" si="25"/>
        <v>530976.50026441028</v>
      </c>
      <c r="X44" s="12">
        <f t="shared" si="25"/>
        <v>537617.13590692764</v>
      </c>
      <c r="Y44" s="12">
        <f t="shared" si="25"/>
        <v>580235.76190080307</v>
      </c>
      <c r="Z44" s="12">
        <f t="shared" si="25"/>
        <v>576402.32062015508</v>
      </c>
      <c r="AA44" s="12">
        <f t="shared" si="25"/>
        <v>604180.13457364345</v>
      </c>
      <c r="AB44" s="12">
        <f t="shared" ref="AB44" si="31">SUM(AB27:AB43)</f>
        <v>604180.13457364345</v>
      </c>
    </row>
    <row r="45" spans="1:34">
      <c r="A45" s="120" t="s">
        <v>299</v>
      </c>
      <c r="B45" s="12"/>
      <c r="C45" s="12">
        <f>+C44*56</f>
        <v>8065740</v>
      </c>
      <c r="D45" s="12">
        <f t="shared" ref="D45:K45" si="32">+D44*56</f>
        <v>7947711.9999999991</v>
      </c>
      <c r="E45" s="12">
        <f t="shared" si="32"/>
        <v>8722072.0000000019</v>
      </c>
      <c r="F45" s="12">
        <f t="shared" si="32"/>
        <v>8159472.0000000009</v>
      </c>
      <c r="G45" s="12">
        <f t="shared" si="32"/>
        <v>8202632.0000000009</v>
      </c>
      <c r="H45" s="12">
        <f t="shared" si="32"/>
        <v>8754928</v>
      </c>
      <c r="I45" s="12">
        <f t="shared" si="32"/>
        <v>17266958</v>
      </c>
      <c r="J45" s="12">
        <f t="shared" si="32"/>
        <v>17356920.446896553</v>
      </c>
      <c r="K45" s="12">
        <f t="shared" si="32"/>
        <v>18044450.99690102</v>
      </c>
      <c r="L45" s="12">
        <f>+L44*58</f>
        <v>24569657.817785054</v>
      </c>
      <c r="M45" s="12">
        <f>+M44*58</f>
        <v>24870878.122931443</v>
      </c>
      <c r="N45" s="12">
        <f>+N44*58</f>
        <v>25143173.440989271</v>
      </c>
      <c r="O45" s="12">
        <f>+O44*58.75</f>
        <v>25668525.749999996</v>
      </c>
      <c r="P45" s="12">
        <f>+P44*58.75</f>
        <v>25689439.5</v>
      </c>
      <c r="Q45" s="12">
        <f>+Q44*58.75</f>
        <v>25749237</v>
      </c>
      <c r="R45" s="12">
        <f>+R44*58.75</f>
        <v>25772122.000000004</v>
      </c>
      <c r="S45" s="12">
        <f t="shared" ref="S45:X45" si="33">+S44*60</f>
        <v>26662322</v>
      </c>
      <c r="T45" s="12">
        <f t="shared" si="33"/>
        <v>28051867.408778422</v>
      </c>
      <c r="U45" s="12">
        <f t="shared" si="33"/>
        <v>28797974.690639872</v>
      </c>
      <c r="V45" s="12">
        <f t="shared" si="33"/>
        <v>31258055.71126388</v>
      </c>
      <c r="W45" s="12">
        <f t="shared" si="33"/>
        <v>31858590.015864618</v>
      </c>
      <c r="X45" s="12">
        <f t="shared" si="33"/>
        <v>32257028.15441566</v>
      </c>
      <c r="Y45" s="12">
        <f>+Y44*60</f>
        <v>34814145.714048184</v>
      </c>
      <c r="Z45" s="12">
        <f>+Z44*60</f>
        <v>34584139.237209305</v>
      </c>
      <c r="AA45" s="12">
        <f>+AA44*60</f>
        <v>36250808.074418604</v>
      </c>
      <c r="AB45" s="12">
        <f>+AB44*60</f>
        <v>36250808.074418604</v>
      </c>
      <c r="AC45" t="s">
        <v>843</v>
      </c>
    </row>
    <row r="46" spans="1:34">
      <c r="A46" s="120" t="s">
        <v>300</v>
      </c>
      <c r="B46" s="12"/>
      <c r="C46" s="22">
        <f>+C44</f>
        <v>144031.07142857142</v>
      </c>
      <c r="D46" s="12">
        <f>+D44-C44</f>
        <v>-2107.6428571428696</v>
      </c>
      <c r="E46" s="12">
        <f>+E44-D44</f>
        <v>13827.857142857189</v>
      </c>
      <c r="F46" s="12">
        <f>+F44-E44</f>
        <v>-10046.42857142858</v>
      </c>
      <c r="G46" s="12">
        <f>(+G44-F44)/56</f>
        <v>13.76275510204089</v>
      </c>
      <c r="H46" s="12">
        <f>(+H44-G44)/56</f>
        <v>176.11479591836698</v>
      </c>
      <c r="I46" s="12">
        <f>(+I44-H44)/56</f>
        <v>2714.2952806122444</v>
      </c>
      <c r="J46" s="12">
        <f>+J44-I44</f>
        <v>1606.4722660098923</v>
      </c>
      <c r="K46" s="12">
        <f>+K44-J44</f>
        <v>12277.331250079791</v>
      </c>
      <c r="L46" s="12"/>
      <c r="M46" s="12">
        <f t="shared" ref="M46:N46" si="34">+M44-L44</f>
        <v>5193.4535370066878</v>
      </c>
      <c r="N46" s="12">
        <f t="shared" si="34"/>
        <v>4694.7468630660442</v>
      </c>
      <c r="O46" s="12">
        <f t="shared" ref="O46" si="35">+O44-N44</f>
        <v>3408.0862338606385</v>
      </c>
      <c r="P46" s="12">
        <f t="shared" ref="P46" si="36">+P44-O44</f>
        <v>355.97872340428876</v>
      </c>
      <c r="Q46" s="12">
        <f t="shared" ref="Q46" si="37">+Q44-P44</f>
        <v>1017.8297872340772</v>
      </c>
      <c r="R46" s="12">
        <f t="shared" ref="R46" si="38">+R44-Q44</f>
        <v>389.53191489365418</v>
      </c>
      <c r="S46" s="12">
        <f t="shared" ref="S46" si="39">+S44-R44</f>
        <v>5697.6163120566634</v>
      </c>
      <c r="T46" s="12">
        <f t="shared" ref="T46" si="40">+T44-S44</f>
        <v>23159.090146307019</v>
      </c>
      <c r="U46" s="12">
        <f t="shared" ref="U46:AB46" si="41">+U44-T44</f>
        <v>12435.121364357532</v>
      </c>
      <c r="V46" s="12">
        <f t="shared" si="41"/>
        <v>41001.350343733444</v>
      </c>
      <c r="W46" s="12">
        <f t="shared" si="41"/>
        <v>10008.905076678959</v>
      </c>
      <c r="X46" s="12">
        <f t="shared" si="41"/>
        <v>6640.6356425173581</v>
      </c>
      <c r="Y46" s="12">
        <f t="shared" si="41"/>
        <v>42618.625993875437</v>
      </c>
      <c r="Z46" s="12">
        <f t="shared" si="41"/>
        <v>-3833.4412806479959</v>
      </c>
      <c r="AA46" s="12">
        <f t="shared" si="41"/>
        <v>27777.813953488367</v>
      </c>
      <c r="AB46" s="12">
        <f t="shared" si="41"/>
        <v>0</v>
      </c>
      <c r="AC46" s="12">
        <v>16973</v>
      </c>
    </row>
    <row r="47" spans="1:34">
      <c r="A47" s="120" t="s">
        <v>301</v>
      </c>
      <c r="B47" s="12"/>
      <c r="C47" s="22">
        <f>+C46*56</f>
        <v>8065740</v>
      </c>
      <c r="D47" s="22">
        <f t="shared" ref="D47:AC47" si="42">+D46*56</f>
        <v>-118028.0000000007</v>
      </c>
      <c r="E47" s="22">
        <f t="shared" si="42"/>
        <v>774360.00000000256</v>
      </c>
      <c r="F47" s="22">
        <f t="shared" si="42"/>
        <v>-562600.00000000047</v>
      </c>
      <c r="G47" s="22">
        <f t="shared" si="42"/>
        <v>770.71428571428987</v>
      </c>
      <c r="H47" s="22">
        <f t="shared" si="42"/>
        <v>9862.4285714285506</v>
      </c>
      <c r="I47" s="22">
        <f t="shared" si="42"/>
        <v>152000.53571428568</v>
      </c>
      <c r="J47" s="22">
        <f t="shared" si="42"/>
        <v>89962.446896553971</v>
      </c>
      <c r="K47" s="22">
        <f t="shared" si="42"/>
        <v>687530.5500044683</v>
      </c>
      <c r="L47" s="22">
        <f t="shared" si="42"/>
        <v>0</v>
      </c>
      <c r="M47" s="22">
        <f t="shared" si="42"/>
        <v>290833.39807237452</v>
      </c>
      <c r="N47" s="22">
        <f t="shared" si="42"/>
        <v>262905.82433169847</v>
      </c>
      <c r="O47" s="22">
        <f t="shared" si="42"/>
        <v>190852.82909619575</v>
      </c>
      <c r="P47" s="22">
        <f t="shared" si="42"/>
        <v>19934.80851064017</v>
      </c>
      <c r="Q47" s="22">
        <f t="shared" si="42"/>
        <v>56998.468085108325</v>
      </c>
      <c r="R47" s="22">
        <f t="shared" si="42"/>
        <v>21813.787234044634</v>
      </c>
      <c r="S47" s="22">
        <f t="shared" si="42"/>
        <v>319066.51347517315</v>
      </c>
      <c r="T47" s="22">
        <f t="shared" si="42"/>
        <v>1296909.048193193</v>
      </c>
      <c r="U47" s="22">
        <f t="shared" si="42"/>
        <v>696366.79640402179</v>
      </c>
      <c r="V47" s="22">
        <f t="shared" si="42"/>
        <v>2296075.6192490729</v>
      </c>
      <c r="W47" s="22">
        <f t="shared" si="42"/>
        <v>560498.68429402169</v>
      </c>
      <c r="X47" s="22">
        <f t="shared" si="42"/>
        <v>371875.59598097205</v>
      </c>
      <c r="Y47" s="22">
        <f t="shared" si="42"/>
        <v>2386643.0556570245</v>
      </c>
      <c r="Z47" s="22">
        <f>+Z46*W1</f>
        <v>-247256.96260179573</v>
      </c>
      <c r="AA47" s="22">
        <f>+AA46*W1</f>
        <v>1791668.9999999995</v>
      </c>
      <c r="AB47" s="22">
        <f>+AB46*W1</f>
        <v>0</v>
      </c>
      <c r="AC47" s="22">
        <f t="shared" si="42"/>
        <v>950488</v>
      </c>
    </row>
    <row r="48" spans="1:34">
      <c r="AC48" s="12" t="e">
        <f>+AC46*#REF!*#REF!</f>
        <v>#REF!</v>
      </c>
    </row>
    <row r="50" spans="21:29">
      <c r="V50" t="s">
        <v>781</v>
      </c>
      <c r="X50" s="82">
        <f>+V45-T45</f>
        <v>3206188.3024854586</v>
      </c>
    </row>
    <row r="51" spans="21:29">
      <c r="V51" t="s">
        <v>782</v>
      </c>
    </row>
    <row r="55" spans="21:29">
      <c r="U55" s="2"/>
      <c r="V55" s="11"/>
      <c r="W55" s="2"/>
      <c r="X55" s="2"/>
      <c r="AC55" s="12"/>
    </row>
    <row r="56" spans="21:29">
      <c r="U56" s="2"/>
      <c r="V56" s="11"/>
      <c r="W56" s="2"/>
      <c r="X56" s="2"/>
    </row>
    <row r="57" spans="21:29">
      <c r="U57" s="2"/>
      <c r="V57" s="11"/>
      <c r="W57" s="2"/>
      <c r="X57" s="2"/>
    </row>
    <row r="60" spans="21:29" ht="44" customHeight="1"/>
    <row r="70" spans="1:1">
      <c r="A70" s="118">
        <v>1111</v>
      </c>
    </row>
    <row r="71" spans="1:1">
      <c r="A71" s="118">
        <v>729</v>
      </c>
    </row>
    <row r="72" spans="1:1">
      <c r="A72" s="118">
        <f>SUM(A70:A71)</f>
        <v>1840</v>
      </c>
    </row>
    <row r="76" spans="1:1" ht="39.5" customHeight="1"/>
    <row r="84" spans="1:49">
      <c r="A84" s="118">
        <f>2000000/1382</f>
        <v>1447.178002894356</v>
      </c>
    </row>
    <row r="86" spans="1:49">
      <c r="A86" s="118">
        <f>616*2000</f>
        <v>1232000</v>
      </c>
    </row>
    <row r="87" spans="1:49">
      <c r="A87" s="118">
        <f>+AH23*0.95</f>
        <v>1463000</v>
      </c>
    </row>
    <row r="88" spans="1:49">
      <c r="A88" s="118">
        <f>+A87-A86</f>
        <v>231000</v>
      </c>
    </row>
    <row r="89" spans="1:49">
      <c r="A89" s="118">
        <v>-10000</v>
      </c>
    </row>
    <row r="90" spans="1:49">
      <c r="A90" s="118">
        <v>-50000</v>
      </c>
    </row>
    <row r="91" spans="1:49">
      <c r="A91" s="118">
        <f>SUM(A88:A90)</f>
        <v>171000</v>
      </c>
    </row>
    <row r="96" spans="1:49" ht="17.5">
      <c r="AM96" s="71">
        <v>7</v>
      </c>
      <c r="AN96" s="72">
        <v>964</v>
      </c>
      <c r="AO96" s="72">
        <v>2500</v>
      </c>
      <c r="AP96" s="72"/>
      <c r="AQ96" s="72">
        <f>+AN96*AO96</f>
        <v>2410000</v>
      </c>
      <c r="AR96" s="72">
        <f>+AQ96*0.2</f>
        <v>482000</v>
      </c>
      <c r="AS96" s="72">
        <f>+AR96/4</f>
        <v>120500</v>
      </c>
      <c r="AT96" s="72">
        <f>+AQ96-AR96</f>
        <v>1928000</v>
      </c>
      <c r="AU96" s="73" t="e">
        <f>PMT(+#REF!/12, +#REF!, -AT96)</f>
        <v>#REF!</v>
      </c>
      <c r="AV96" s="73" t="e">
        <f>PMT(+#REF!/12, +#REF!, -AT96)</f>
        <v>#REF!</v>
      </c>
      <c r="AW96" s="73" t="e">
        <f>PMT(+#REF!/12, +#REF!, -AT96)</f>
        <v>#REF!</v>
      </c>
    </row>
    <row r="97" spans="20:49" ht="17.5">
      <c r="AM97" s="71">
        <v>8</v>
      </c>
      <c r="AN97" s="72">
        <v>1111</v>
      </c>
      <c r="AO97" s="72">
        <v>2500</v>
      </c>
      <c r="AP97" s="72"/>
      <c r="AQ97" s="72">
        <f>+AN97*AO97</f>
        <v>2777500</v>
      </c>
      <c r="AR97" s="72">
        <f>+AQ97*0.2</f>
        <v>555500</v>
      </c>
      <c r="AS97" s="72">
        <f>+AR97/4</f>
        <v>138875</v>
      </c>
      <c r="AT97" s="72">
        <f>+AQ97-AR97</f>
        <v>2222000</v>
      </c>
      <c r="AU97" s="73" t="e">
        <f>PMT(+#REF!/12, +#REF!, -AT97)</f>
        <v>#REF!</v>
      </c>
      <c r="AV97" s="73" t="e">
        <f>PMT(+#REF!/12, +#REF!, -AT97)</f>
        <v>#REF!</v>
      </c>
      <c r="AW97" s="73" t="e">
        <f>PMT(+#REF!/12, +#REF!, -AT97)</f>
        <v>#REF!</v>
      </c>
    </row>
    <row r="98" spans="20:49" ht="15.5">
      <c r="AQ98" s="74">
        <f>SUM(AQ96:AQ97)</f>
        <v>5187500</v>
      </c>
      <c r="AR98" s="74">
        <f>SUM(AR96:AR97)</f>
        <v>1037500</v>
      </c>
      <c r="AS98" s="75">
        <f>+AR98/4</f>
        <v>259375</v>
      </c>
      <c r="AU98" s="72" t="e">
        <f>SUM(AU96:AU97)</f>
        <v>#REF!</v>
      </c>
      <c r="AV98" s="72" t="e">
        <f>SUM(AV96:AV97)</f>
        <v>#REF!</v>
      </c>
      <c r="AW98" s="72" t="e">
        <f>SUM(AW96:AW97)</f>
        <v>#REF!</v>
      </c>
    </row>
    <row r="99" spans="20:49">
      <c r="AU99" s="74">
        <f>+AS98</f>
        <v>259375</v>
      </c>
      <c r="AV99" s="74">
        <f>+AS98</f>
        <v>259375</v>
      </c>
      <c r="AW99" s="74">
        <f>+AS98</f>
        <v>259375</v>
      </c>
    </row>
    <row r="100" spans="20:49" ht="15.5">
      <c r="AU100" s="72" t="e">
        <f>+AU98*60</f>
        <v>#REF!</v>
      </c>
      <c r="AV100" s="72" t="e">
        <f>+AV98*60</f>
        <v>#REF!</v>
      </c>
      <c r="AW100" s="72" t="e">
        <f>+AW98*120</f>
        <v>#REF!</v>
      </c>
    </row>
    <row r="112" spans="20:49" ht="18.5">
      <c r="T112" s="194" t="s">
        <v>311</v>
      </c>
      <c r="U112" s="194"/>
      <c r="V112" s="194"/>
      <c r="W112" s="194"/>
      <c r="X112" s="194"/>
      <c r="Y112" s="194"/>
      <c r="Z112" s="194"/>
      <c r="AA112" s="194"/>
      <c r="AB112" s="194"/>
      <c r="AC112" s="194"/>
      <c r="AD112" s="194"/>
      <c r="AE112" s="194"/>
    </row>
    <row r="113" spans="1:31" ht="15.5">
      <c r="T113" s="62"/>
      <c r="U113" s="62"/>
      <c r="V113" s="62"/>
      <c r="W113" s="62"/>
      <c r="X113" s="63" t="s">
        <v>302</v>
      </c>
      <c r="Y113" s="64">
        <v>0.14000000000000001</v>
      </c>
      <c r="Z113" s="62"/>
      <c r="AA113" s="62"/>
      <c r="AB113" s="188"/>
      <c r="AC113" s="65" t="s">
        <v>303</v>
      </c>
      <c r="AD113" s="76"/>
      <c r="AE113" s="66"/>
    </row>
    <row r="114" spans="1:31" s="129" customFormat="1" ht="44.5" customHeight="1">
      <c r="A114" s="171"/>
      <c r="B114" s="128"/>
      <c r="D114" s="128"/>
      <c r="E114" s="128"/>
      <c r="T114" s="130"/>
      <c r="U114" s="68" t="s">
        <v>304</v>
      </c>
      <c r="V114" s="68" t="s">
        <v>305</v>
      </c>
      <c r="W114" s="68" t="s">
        <v>306</v>
      </c>
      <c r="X114" s="84" t="s">
        <v>307</v>
      </c>
      <c r="Y114" s="84" t="s">
        <v>308</v>
      </c>
      <c r="Z114" s="68" t="s">
        <v>309</v>
      </c>
      <c r="AA114" s="84" t="s">
        <v>310</v>
      </c>
      <c r="AB114" s="84"/>
      <c r="AC114" s="77">
        <v>60</v>
      </c>
      <c r="AD114" s="77">
        <v>72</v>
      </c>
      <c r="AE114" s="77">
        <v>120</v>
      </c>
    </row>
    <row r="115" spans="1:31" ht="17.5">
      <c r="T115" s="71" t="s">
        <v>312</v>
      </c>
      <c r="U115" s="12">
        <v>1473</v>
      </c>
      <c r="V115" s="14"/>
      <c r="W115" s="72"/>
      <c r="X115" s="72">
        <f>5100000</f>
        <v>5100000</v>
      </c>
      <c r="Y115" s="72">
        <v>1000000</v>
      </c>
      <c r="Z115" s="72">
        <f>+Y115/4</f>
        <v>250000</v>
      </c>
      <c r="AA115" s="72">
        <f>+X115-Y115</f>
        <v>4100000</v>
      </c>
      <c r="AB115" s="72"/>
      <c r="AC115" s="78">
        <f>PMT(+Y113/12, +AC114, -AA115)</f>
        <v>95399.828482489553</v>
      </c>
      <c r="AD115" s="78">
        <f>PMT(+Y113/12, +AD114, -AA115)</f>
        <v>84483.531877725472</v>
      </c>
      <c r="AE115" s="78">
        <f>PMT(+Y113/12, +AE114, -AA115)</f>
        <v>63659.238366774924</v>
      </c>
    </row>
    <row r="116" spans="1:31" ht="17.5">
      <c r="T116" s="71" t="s">
        <v>313</v>
      </c>
      <c r="U116" s="12">
        <v>881</v>
      </c>
      <c r="V116" s="14">
        <v>45</v>
      </c>
      <c r="W116" s="72">
        <f>+V116*62</f>
        <v>2790</v>
      </c>
      <c r="X116" s="72">
        <f>+U116*V116*60</f>
        <v>2378700</v>
      </c>
      <c r="Y116" s="72">
        <f>+X116*0.2</f>
        <v>475740</v>
      </c>
      <c r="Z116" s="72">
        <f>+Y116/4</f>
        <v>118935</v>
      </c>
      <c r="AA116" s="72">
        <f>+X116-Y116</f>
        <v>1902960</v>
      </c>
      <c r="AB116" s="72"/>
      <c r="AC116" s="78">
        <f>PMT(+Y113/12, +AC114, -AA116)</f>
        <v>44278.55063635081</v>
      </c>
      <c r="AD116" s="78">
        <f>PMT(+Z113/12, +AD114, -AA116)</f>
        <v>26430</v>
      </c>
      <c r="AE116" s="78">
        <f>PMT(+Y113/12, +AE114, -AA116)</f>
        <v>29546.581522545857</v>
      </c>
    </row>
    <row r="117" spans="1:31" ht="17.5">
      <c r="T117" s="71" t="s">
        <v>314</v>
      </c>
      <c r="U117" s="12">
        <v>616</v>
      </c>
      <c r="V117" s="14">
        <v>45</v>
      </c>
      <c r="W117" s="72">
        <f>+V117*62</f>
        <v>2790</v>
      </c>
      <c r="X117" s="72">
        <f>+U117*V117*60</f>
        <v>1663200</v>
      </c>
      <c r="Y117" s="72">
        <f>+X117*0.2</f>
        <v>332640</v>
      </c>
      <c r="Z117" s="72">
        <f>+Y117/4</f>
        <v>83160</v>
      </c>
      <c r="AA117" s="72">
        <f>+X117-Y117</f>
        <v>1330560</v>
      </c>
      <c r="AB117" s="72"/>
      <c r="AC117" s="78">
        <f>PMT(+Y113/12, +AC114, -AA117)</f>
        <v>30959.803850161294</v>
      </c>
      <c r="AD117" s="78">
        <f>PMT(+Y113/12, +AD114, -AA117)</f>
        <v>27417.172725664979</v>
      </c>
      <c r="AE117" s="78">
        <f>PMT(+Y113/12, +AE114, -AA117)</f>
        <v>20659.130780803913</v>
      </c>
    </row>
    <row r="118" spans="1:31" ht="17.5">
      <c r="T118" s="71" t="s">
        <v>315</v>
      </c>
      <c r="U118" s="12">
        <v>613</v>
      </c>
      <c r="V118" s="14">
        <v>42</v>
      </c>
      <c r="W118" s="72">
        <f>+V118*62</f>
        <v>2604</v>
      </c>
      <c r="X118" s="72">
        <f>+U118*V118*60</f>
        <v>1544760</v>
      </c>
      <c r="Y118" s="72">
        <f>+X118*0.2</f>
        <v>308952</v>
      </c>
      <c r="Z118" s="72">
        <f>+Y118/4</f>
        <v>77238</v>
      </c>
      <c r="AA118" s="72">
        <f>+X118-Y118</f>
        <v>1235808</v>
      </c>
      <c r="AB118" s="72"/>
      <c r="AC118" s="78">
        <f>PMT(+Y113/12, +AC114, -AA118)</f>
        <v>28755.090545680108</v>
      </c>
      <c r="AD118" s="78">
        <f>PMT(+Y113/12, +AD114, -AA118)</f>
        <v>25464.737698231256</v>
      </c>
      <c r="AE118" s="78">
        <f>PMT(+Y113/12, +AE114, -AA118)</f>
        <v>19187.950255504238</v>
      </c>
    </row>
    <row r="119" spans="1:31" ht="17.5">
      <c r="T119" s="71" t="s">
        <v>316</v>
      </c>
      <c r="U119" s="12">
        <f>889+493</f>
        <v>1382</v>
      </c>
      <c r="V119" s="14">
        <v>25</v>
      </c>
      <c r="W119" s="72">
        <f>+V119*60</f>
        <v>1500</v>
      </c>
      <c r="X119" s="72">
        <f>+U119*V119*60</f>
        <v>2073000</v>
      </c>
      <c r="Y119" s="72">
        <f>+X119*0.2</f>
        <v>414600</v>
      </c>
      <c r="Z119" s="72">
        <f>+Y119/4</f>
        <v>103650</v>
      </c>
      <c r="AA119" s="72">
        <f>+X119-Y119</f>
        <v>1658400</v>
      </c>
      <c r="AB119" s="72"/>
      <c r="AC119" s="78">
        <f>PMT(+Y113/12, +AC114, -AA119)</f>
        <v>38588.067208624554</v>
      </c>
      <c r="AD119" s="78">
        <f>PMT(+Y113/12, +AD114, -AA119)</f>
        <v>34172.558357565838</v>
      </c>
      <c r="AE119" s="78">
        <f>PMT(+Y113/12, +AE114, -AA119)</f>
        <v>25749.38558718525</v>
      </c>
    </row>
    <row r="121" spans="1:31">
      <c r="X121" s="74">
        <f>SUM(X115:X120)</f>
        <v>12759660</v>
      </c>
    </row>
    <row r="123" spans="1:31">
      <c r="T123" s="14"/>
      <c r="U123" s="14"/>
      <c r="V123" s="14" t="s">
        <v>1041</v>
      </c>
      <c r="W123" s="14" t="s">
        <v>1042</v>
      </c>
      <c r="X123" s="14"/>
    </row>
    <row r="124" spans="1:31" ht="29">
      <c r="T124" s="168" t="s">
        <v>1043</v>
      </c>
      <c r="U124" s="14" t="s">
        <v>1044</v>
      </c>
      <c r="V124" s="14">
        <v>1111</v>
      </c>
      <c r="W124" s="14">
        <v>50</v>
      </c>
      <c r="X124" s="14"/>
    </row>
    <row r="125" spans="1:31" ht="29">
      <c r="T125" s="168" t="s">
        <v>1043</v>
      </c>
      <c r="U125" s="14" t="s">
        <v>1045</v>
      </c>
      <c r="V125" s="14">
        <v>550</v>
      </c>
      <c r="W125" s="14">
        <v>50</v>
      </c>
      <c r="X125" s="14"/>
    </row>
    <row r="126" spans="1:31" ht="29">
      <c r="T126" s="168" t="s">
        <v>1043</v>
      </c>
      <c r="U126" s="14" t="s">
        <v>1046</v>
      </c>
      <c r="V126" s="14">
        <v>729</v>
      </c>
      <c r="W126" s="14">
        <v>45</v>
      </c>
      <c r="X126" s="14"/>
    </row>
    <row r="127" spans="1:31" ht="29">
      <c r="T127" s="168" t="s">
        <v>1043</v>
      </c>
      <c r="U127" s="14" t="s">
        <v>1047</v>
      </c>
      <c r="V127" s="14">
        <v>964</v>
      </c>
      <c r="W127" s="14">
        <v>45</v>
      </c>
      <c r="X127" s="14"/>
    </row>
    <row r="128" spans="1:31" ht="62">
      <c r="T128" s="184" t="s">
        <v>1048</v>
      </c>
      <c r="U128" s="14" t="s">
        <v>1044</v>
      </c>
      <c r="V128" s="14">
        <v>1470</v>
      </c>
      <c r="W128" s="185" t="s">
        <v>1049</v>
      </c>
      <c r="X128" s="186" t="s">
        <v>1050</v>
      </c>
    </row>
    <row r="139" spans="1:25">
      <c r="A139" s="207" t="s">
        <v>549</v>
      </c>
      <c r="B139" s="207"/>
      <c r="C139" s="207"/>
      <c r="D139" s="207"/>
      <c r="E139" s="207"/>
      <c r="F139" s="207"/>
      <c r="G139" s="207"/>
      <c r="H139" s="207"/>
      <c r="I139" s="207"/>
      <c r="J139" s="207"/>
      <c r="K139" s="207"/>
      <c r="L139" s="207"/>
      <c r="M139" s="207"/>
      <c r="N139" s="207"/>
      <c r="O139" s="207"/>
      <c r="P139" s="207"/>
      <c r="Q139" s="207"/>
      <c r="R139" s="207"/>
      <c r="S139" s="207"/>
      <c r="T139" s="207"/>
      <c r="U139" s="207"/>
      <c r="V139" s="207"/>
      <c r="W139" s="207"/>
      <c r="X139" s="2"/>
    </row>
    <row r="140" spans="1:25">
      <c r="A140" s="120"/>
      <c r="B140" s="12"/>
      <c r="C140" s="14"/>
      <c r="D140" s="12"/>
      <c r="E140" s="12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43" t="s">
        <v>550</v>
      </c>
      <c r="U140" s="126" t="s">
        <v>554</v>
      </c>
      <c r="V140" s="43" t="s">
        <v>555</v>
      </c>
      <c r="W140" s="126" t="s">
        <v>136</v>
      </c>
      <c r="X140" s="2"/>
    </row>
    <row r="141" spans="1:25">
      <c r="A141" s="120"/>
      <c r="B141" s="12"/>
      <c r="C141" s="14"/>
      <c r="D141" s="12"/>
      <c r="E141" s="12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43" t="s">
        <v>914</v>
      </c>
      <c r="U141" s="126"/>
      <c r="V141" s="43"/>
      <c r="W141" s="126">
        <v>500000</v>
      </c>
      <c r="X141" s="2"/>
    </row>
    <row r="142" spans="1:25">
      <c r="A142" s="120"/>
      <c r="B142" s="12"/>
      <c r="C142" s="14"/>
      <c r="D142" s="12"/>
      <c r="E142" s="12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 t="s">
        <v>271</v>
      </c>
      <c r="U142" s="14" t="s">
        <v>556</v>
      </c>
      <c r="V142" s="14"/>
      <c r="W142" s="12"/>
      <c r="X142" s="2"/>
    </row>
    <row r="143" spans="1:25">
      <c r="A143" s="120"/>
      <c r="B143" s="12"/>
      <c r="C143" s="14"/>
      <c r="D143" s="12"/>
      <c r="E143" s="12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 t="s">
        <v>272</v>
      </c>
      <c r="U143" s="14" t="s">
        <v>556</v>
      </c>
      <c r="V143" s="14"/>
      <c r="W143" s="12"/>
      <c r="X143" s="2"/>
    </row>
    <row r="144" spans="1:25">
      <c r="A144" s="120"/>
      <c r="B144" s="12"/>
      <c r="C144" s="14"/>
      <c r="D144" s="12"/>
      <c r="E144" s="12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 t="s">
        <v>262</v>
      </c>
      <c r="U144" s="121">
        <v>10000</v>
      </c>
      <c r="V144" s="121">
        <v>4000</v>
      </c>
      <c r="W144" s="22">
        <f>+W141+U144+V144</f>
        <v>514000</v>
      </c>
      <c r="X144" s="2"/>
      <c r="Y144" s="2"/>
    </row>
    <row r="145" spans="1:25">
      <c r="A145" s="120"/>
      <c r="B145" s="12"/>
      <c r="C145" s="14"/>
      <c r="D145" s="12"/>
      <c r="E145" s="12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39" t="s">
        <v>273</v>
      </c>
      <c r="U145" s="121">
        <v>10000</v>
      </c>
      <c r="V145" s="121">
        <v>3500</v>
      </c>
      <c r="W145" s="125">
        <f>+W144+U145+V145</f>
        <v>527500</v>
      </c>
      <c r="X145" s="2"/>
      <c r="Y145" s="2"/>
    </row>
    <row r="146" spans="1:25">
      <c r="A146" s="120"/>
      <c r="B146" s="12"/>
      <c r="C146" s="14"/>
      <c r="D146" s="12"/>
      <c r="E146" s="12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 t="s">
        <v>551</v>
      </c>
      <c r="U146" s="121">
        <v>10000</v>
      </c>
      <c r="V146" s="121">
        <f>+V145-500</f>
        <v>3000</v>
      </c>
      <c r="W146" s="125">
        <f>+W145+U146+V146</f>
        <v>540500</v>
      </c>
      <c r="X146" s="2"/>
      <c r="Y146" s="2"/>
    </row>
    <row r="147" spans="1:25">
      <c r="A147" s="120"/>
      <c r="B147" s="12"/>
      <c r="C147" s="14"/>
      <c r="D147" s="12"/>
      <c r="E147" s="12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 t="s">
        <v>552</v>
      </c>
      <c r="U147" s="121">
        <v>10000</v>
      </c>
      <c r="V147" s="121">
        <f>+V146-500</f>
        <v>2500</v>
      </c>
      <c r="W147" s="125">
        <f t="shared" ref="W147:W167" si="43">+W146+U147+V147</f>
        <v>553000</v>
      </c>
      <c r="Y147" s="2"/>
    </row>
    <row r="148" spans="1:25">
      <c r="A148" s="120" t="s">
        <v>956</v>
      </c>
      <c r="B148" s="12"/>
      <c r="C148" s="14"/>
      <c r="D148" s="12"/>
      <c r="E148" s="12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3">
        <v>45744</v>
      </c>
      <c r="U148" s="121">
        <v>-50000</v>
      </c>
      <c r="V148" s="121"/>
      <c r="W148" s="125">
        <f t="shared" si="43"/>
        <v>503000</v>
      </c>
      <c r="Y148" s="2"/>
    </row>
    <row r="149" spans="1:25">
      <c r="A149" s="120"/>
      <c r="B149" s="12"/>
      <c r="C149" s="14"/>
      <c r="D149" s="12"/>
      <c r="E149" s="12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 t="s">
        <v>553</v>
      </c>
      <c r="U149" s="123">
        <v>10000</v>
      </c>
      <c r="V149" s="123">
        <v>2500</v>
      </c>
      <c r="W149" s="125">
        <f t="shared" si="43"/>
        <v>515500</v>
      </c>
      <c r="Y149" s="2"/>
    </row>
    <row r="150" spans="1:25">
      <c r="A150" s="120"/>
      <c r="B150" s="12"/>
      <c r="C150" s="14"/>
      <c r="D150" s="12"/>
      <c r="E150" s="12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 t="s">
        <v>267</v>
      </c>
      <c r="U150" s="123">
        <v>10000</v>
      </c>
      <c r="V150" s="123">
        <f>+V149-500</f>
        <v>2000</v>
      </c>
      <c r="W150" s="125">
        <f t="shared" si="43"/>
        <v>527500</v>
      </c>
      <c r="Y150" s="2"/>
    </row>
    <row r="151" spans="1:25">
      <c r="A151" s="120"/>
      <c r="B151" s="12"/>
      <c r="C151" s="14"/>
      <c r="D151" s="12"/>
      <c r="E151" s="12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 t="s">
        <v>268</v>
      </c>
      <c r="U151" s="123">
        <v>10000</v>
      </c>
      <c r="V151" s="123">
        <f>+V150-500</f>
        <v>1500</v>
      </c>
      <c r="W151" s="125">
        <f t="shared" si="43"/>
        <v>539000</v>
      </c>
      <c r="Y151" s="2"/>
    </row>
    <row r="152" spans="1:25">
      <c r="A152" s="120"/>
      <c r="B152" s="12"/>
      <c r="C152" s="14"/>
      <c r="D152" s="12"/>
      <c r="E152" s="12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 t="s">
        <v>269</v>
      </c>
      <c r="U152" s="123">
        <v>10000</v>
      </c>
      <c r="V152" s="123">
        <v>1000</v>
      </c>
      <c r="W152" s="125">
        <f t="shared" si="43"/>
        <v>550000</v>
      </c>
      <c r="Y152" s="2"/>
    </row>
    <row r="153" spans="1:25">
      <c r="A153" s="120"/>
      <c r="B153" s="12"/>
      <c r="C153" s="14"/>
      <c r="D153" s="12"/>
      <c r="E153" s="12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 t="s">
        <v>258</v>
      </c>
      <c r="U153" s="123">
        <v>10000</v>
      </c>
      <c r="V153" s="123">
        <v>500</v>
      </c>
      <c r="W153" s="125">
        <f t="shared" si="43"/>
        <v>560500</v>
      </c>
    </row>
    <row r="154" spans="1:25">
      <c r="A154" s="120" t="s">
        <v>956</v>
      </c>
      <c r="B154" s="12"/>
      <c r="C154" s="14"/>
      <c r="D154" s="12"/>
      <c r="E154" s="12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3">
        <v>45773</v>
      </c>
      <c r="U154" s="123">
        <v>-50000</v>
      </c>
      <c r="V154" s="124"/>
      <c r="W154" s="125">
        <f t="shared" si="43"/>
        <v>510500</v>
      </c>
    </row>
    <row r="155" spans="1:25">
      <c r="A155" s="120"/>
      <c r="B155" s="12"/>
      <c r="C155" s="14"/>
      <c r="D155" s="12"/>
      <c r="E155" s="12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 t="s">
        <v>258</v>
      </c>
      <c r="U155" s="22">
        <v>10000</v>
      </c>
      <c r="V155" s="22">
        <v>1500</v>
      </c>
      <c r="W155" s="125">
        <f t="shared" si="43"/>
        <v>522000</v>
      </c>
      <c r="Y155" s="2"/>
    </row>
    <row r="156" spans="1:25">
      <c r="A156" s="120"/>
      <c r="B156" s="12"/>
      <c r="C156" s="14"/>
      <c r="D156" s="12"/>
      <c r="E156" s="12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 t="s">
        <v>270</v>
      </c>
      <c r="U156" s="22">
        <v>10000</v>
      </c>
      <c r="V156" s="22">
        <v>1000</v>
      </c>
      <c r="W156" s="125">
        <f t="shared" si="43"/>
        <v>533000</v>
      </c>
    </row>
    <row r="157" spans="1:25">
      <c r="A157" s="120" t="s">
        <v>957</v>
      </c>
      <c r="B157" s="12"/>
      <c r="C157" s="14"/>
      <c r="D157" s="12"/>
      <c r="E157" s="12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38">
        <v>45838</v>
      </c>
      <c r="U157" s="22">
        <f>-300*32-5000</f>
        <v>-14600</v>
      </c>
      <c r="V157" s="22"/>
      <c r="W157" s="125">
        <f t="shared" si="43"/>
        <v>518400</v>
      </c>
    </row>
    <row r="158" spans="1:25">
      <c r="A158" s="120"/>
      <c r="B158" s="12"/>
      <c r="C158" s="14"/>
      <c r="D158" s="12"/>
      <c r="E158" s="12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39" t="s">
        <v>271</v>
      </c>
      <c r="U158" s="22">
        <v>10000</v>
      </c>
      <c r="V158" s="22">
        <v>1000</v>
      </c>
      <c r="W158" s="125">
        <f>+W157+U158+V158</f>
        <v>529400</v>
      </c>
    </row>
    <row r="159" spans="1:25">
      <c r="A159" s="120"/>
      <c r="B159" s="12"/>
      <c r="C159" s="14"/>
      <c r="D159" s="12"/>
      <c r="E159" s="12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 t="s">
        <v>272</v>
      </c>
      <c r="U159" s="22">
        <v>10000</v>
      </c>
      <c r="V159" s="14">
        <v>500</v>
      </c>
      <c r="W159" s="125">
        <f t="shared" si="43"/>
        <v>539900</v>
      </c>
    </row>
    <row r="160" spans="1:25">
      <c r="A160" s="120"/>
      <c r="B160" s="12"/>
      <c r="C160" s="14"/>
      <c r="D160" s="12"/>
      <c r="E160" s="12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 t="s">
        <v>262</v>
      </c>
      <c r="U160" s="22">
        <v>10000</v>
      </c>
      <c r="V160" s="14"/>
      <c r="W160" s="125">
        <f t="shared" si="43"/>
        <v>549900</v>
      </c>
    </row>
    <row r="161" spans="1:25">
      <c r="A161" s="120" t="s">
        <v>958</v>
      </c>
      <c r="B161" s="12"/>
      <c r="C161" s="14"/>
      <c r="D161" s="12"/>
      <c r="E161" s="12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 t="s">
        <v>959</v>
      </c>
      <c r="U161" s="22">
        <v>-140000</v>
      </c>
      <c r="V161" s="14"/>
      <c r="W161" s="125">
        <f t="shared" si="43"/>
        <v>409900</v>
      </c>
      <c r="Y161" s="82"/>
    </row>
    <row r="162" spans="1:25">
      <c r="A162" s="120" t="s">
        <v>958</v>
      </c>
      <c r="B162" s="12"/>
      <c r="C162" s="14"/>
      <c r="D162" s="12"/>
      <c r="E162" s="12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39" t="s">
        <v>960</v>
      </c>
      <c r="U162" s="22">
        <f>-30*5600</f>
        <v>-168000</v>
      </c>
      <c r="V162" s="14"/>
      <c r="W162" s="125">
        <f t="shared" si="43"/>
        <v>241900</v>
      </c>
      <c r="Y162" s="82"/>
    </row>
    <row r="163" spans="1:25">
      <c r="A163" s="120"/>
      <c r="B163" s="12"/>
      <c r="C163" s="14"/>
      <c r="D163" s="12"/>
      <c r="E163" s="12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39" t="s">
        <v>273</v>
      </c>
      <c r="U163" s="22">
        <f>0.02*W162</f>
        <v>4838</v>
      </c>
      <c r="V163" s="14">
        <f>+U163*0.05*3</f>
        <v>725.7</v>
      </c>
      <c r="W163" s="125">
        <f>+W162+U163+V163</f>
        <v>247463.7</v>
      </c>
    </row>
    <row r="164" spans="1:25">
      <c r="A164" s="120" t="s">
        <v>339</v>
      </c>
      <c r="B164" s="12"/>
      <c r="C164" s="14"/>
      <c r="D164" s="12"/>
      <c r="E164" s="12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3">
        <v>45905</v>
      </c>
      <c r="U164" s="22">
        <v>-12500</v>
      </c>
      <c r="V164" s="14"/>
      <c r="W164" s="125">
        <f t="shared" si="43"/>
        <v>234963.7</v>
      </c>
    </row>
    <row r="165" spans="1:25">
      <c r="A165" s="120"/>
      <c r="B165" s="12"/>
      <c r="C165" s="14"/>
      <c r="D165" s="12"/>
      <c r="E165" s="12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 t="s">
        <v>264</v>
      </c>
      <c r="U165" s="22">
        <v>4838</v>
      </c>
      <c r="V165" s="14">
        <f>+U165*0.05*2</f>
        <v>483.8</v>
      </c>
      <c r="W165" s="125">
        <f t="shared" si="43"/>
        <v>240285.5</v>
      </c>
    </row>
    <row r="166" spans="1:25">
      <c r="A166" s="120"/>
      <c r="B166" s="12"/>
      <c r="C166" s="14"/>
      <c r="D166" s="12"/>
      <c r="E166" s="12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 t="s">
        <v>265</v>
      </c>
      <c r="U166" s="22">
        <v>4838</v>
      </c>
      <c r="V166" s="14">
        <f>+U166*0.05</f>
        <v>241.9</v>
      </c>
      <c r="W166" s="125">
        <f t="shared" si="43"/>
        <v>245365.4</v>
      </c>
    </row>
    <row r="167" spans="1:25">
      <c r="A167" s="120"/>
      <c r="B167" s="12"/>
      <c r="C167" s="14"/>
      <c r="D167" s="12"/>
      <c r="E167" s="12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25">
        <f t="shared" si="43"/>
        <v>245365.4</v>
      </c>
    </row>
    <row r="168" spans="1:25">
      <c r="A168" s="120"/>
      <c r="B168" s="12"/>
      <c r="C168" s="14"/>
      <c r="D168" s="12"/>
      <c r="E168" s="12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</row>
    <row r="169" spans="1:25">
      <c r="A169" s="120"/>
      <c r="B169" s="12"/>
      <c r="C169" s="14"/>
      <c r="D169" s="12"/>
      <c r="E169" s="12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</row>
    <row r="170" spans="1:25">
      <c r="A170" s="120"/>
      <c r="B170" s="12"/>
      <c r="C170" s="14"/>
      <c r="D170" s="12"/>
      <c r="E170" s="12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</row>
    <row r="171" spans="1:25">
      <c r="A171" s="120"/>
      <c r="B171" s="12"/>
      <c r="C171" s="14"/>
      <c r="D171" s="12"/>
      <c r="E171" s="12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</row>
  </sheetData>
  <sortState ref="T55:AE61">
    <sortCondition ref="T55:T61"/>
  </sortState>
  <mergeCells count="5">
    <mergeCell ref="A139:W139"/>
    <mergeCell ref="B1:H1"/>
    <mergeCell ref="AD18:AN18"/>
    <mergeCell ref="AD2:AM2"/>
    <mergeCell ref="T112:AE112"/>
  </mergeCells>
  <pageMargins left="0.7" right="0.7" top="0.75" bottom="0.75" header="0.511811023622047" footer="0.511811023622047"/>
  <pageSetup orientation="portrait" horizontalDpi="300" verticalDpi="30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80"/>
  <sheetViews>
    <sheetView topLeftCell="A157" zoomScaleNormal="100" workbookViewId="0">
      <selection activeCell="C122" sqref="C122"/>
    </sheetView>
  </sheetViews>
  <sheetFormatPr baseColWidth="10" defaultColWidth="8.7265625" defaultRowHeight="14.5"/>
  <cols>
    <col min="1" max="1" width="7.54296875" customWidth="1"/>
    <col min="2" max="2" width="17.81640625" style="2" customWidth="1"/>
    <col min="3" max="3" width="25.1796875" customWidth="1"/>
    <col min="4" max="4" width="11.81640625" customWidth="1"/>
    <col min="5" max="5" width="11.453125" customWidth="1"/>
    <col min="6" max="6" width="30.453125" customWidth="1"/>
    <col min="7" max="7" width="25.81640625" style="2" customWidth="1"/>
    <col min="8" max="8" width="15.1796875" customWidth="1"/>
    <col min="9" max="9" width="13.08984375" style="2" customWidth="1"/>
    <col min="10" max="10" width="14.81640625" customWidth="1"/>
    <col min="11" max="11" width="12.08984375" customWidth="1"/>
    <col min="13" max="13" width="14.81640625" customWidth="1"/>
  </cols>
  <sheetData>
    <row r="1" spans="1:8" ht="15.5">
      <c r="A1" s="208" t="s">
        <v>986</v>
      </c>
      <c r="B1" s="208"/>
      <c r="C1" s="208"/>
      <c r="F1" s="4"/>
      <c r="G1" s="5"/>
      <c r="H1" s="5"/>
    </row>
    <row r="2" spans="1:8" ht="15.5">
      <c r="A2" s="6" t="s">
        <v>1</v>
      </c>
      <c r="B2" s="7" t="s">
        <v>2</v>
      </c>
      <c r="C2" s="6" t="s">
        <v>3</v>
      </c>
      <c r="F2" s="4"/>
      <c r="G2" s="5"/>
      <c r="H2" s="5"/>
    </row>
    <row r="3" spans="1:8" ht="15.5">
      <c r="A3" s="13">
        <v>45931</v>
      </c>
      <c r="B3" s="12">
        <v>910</v>
      </c>
      <c r="C3" s="14" t="s">
        <v>177</v>
      </c>
      <c r="F3" s="4"/>
      <c r="G3" s="210" t="s">
        <v>4</v>
      </c>
      <c r="H3" s="210"/>
    </row>
    <row r="4" spans="1:8" ht="15.5">
      <c r="A4" s="13">
        <v>45931</v>
      </c>
      <c r="B4" s="12">
        <v>910</v>
      </c>
      <c r="C4" s="14" t="s">
        <v>177</v>
      </c>
      <c r="F4" s="4"/>
      <c r="G4" s="9" t="s">
        <v>6</v>
      </c>
      <c r="H4" s="9">
        <v>20000</v>
      </c>
    </row>
    <row r="5" spans="1:8" ht="15.5">
      <c r="A5" s="13">
        <v>45931</v>
      </c>
      <c r="B5" s="12">
        <v>748</v>
      </c>
      <c r="C5" s="14" t="s">
        <v>991</v>
      </c>
      <c r="D5">
        <v>748</v>
      </c>
      <c r="F5" s="4"/>
      <c r="G5" s="9" t="s">
        <v>7</v>
      </c>
      <c r="H5" s="9">
        <v>20000</v>
      </c>
    </row>
    <row r="6" spans="1:8" ht="15.5">
      <c r="A6" s="13">
        <v>45935</v>
      </c>
      <c r="B6" s="12">
        <v>653</v>
      </c>
      <c r="C6" s="14" t="s">
        <v>787</v>
      </c>
      <c r="F6" s="4"/>
      <c r="G6" s="9" t="s">
        <v>9</v>
      </c>
      <c r="H6" s="9">
        <v>20000</v>
      </c>
    </row>
    <row r="7" spans="1:8" ht="15.5">
      <c r="A7" s="13">
        <v>45935</v>
      </c>
      <c r="B7" s="12">
        <v>3800</v>
      </c>
      <c r="C7" s="14" t="s">
        <v>190</v>
      </c>
      <c r="F7" s="4"/>
      <c r="G7" s="9" t="s">
        <v>11</v>
      </c>
      <c r="H7" s="9">
        <v>5000</v>
      </c>
    </row>
    <row r="8" spans="1:8" ht="15.5">
      <c r="A8" s="13">
        <v>45935</v>
      </c>
      <c r="B8" s="12">
        <v>1000</v>
      </c>
      <c r="C8" s="14" t="s">
        <v>987</v>
      </c>
      <c r="F8" s="4"/>
      <c r="G8" s="9" t="s">
        <v>220</v>
      </c>
      <c r="H8" s="9">
        <v>600</v>
      </c>
    </row>
    <row r="9" spans="1:8" ht="15.5">
      <c r="A9" s="13">
        <v>45935</v>
      </c>
      <c r="B9" s="12">
        <v>1425</v>
      </c>
      <c r="C9" s="14" t="s">
        <v>992</v>
      </c>
      <c r="F9" s="4"/>
      <c r="G9" s="9" t="s">
        <v>926</v>
      </c>
      <c r="H9" s="9">
        <v>3000</v>
      </c>
    </row>
    <row r="10" spans="1:8" ht="15.5">
      <c r="A10" s="13">
        <v>45936</v>
      </c>
      <c r="B10" s="12">
        <v>3519</v>
      </c>
      <c r="C10" s="14" t="s">
        <v>6</v>
      </c>
      <c r="F10" s="4"/>
      <c r="G10" s="9" t="s">
        <v>119</v>
      </c>
      <c r="H10" s="9">
        <v>14000</v>
      </c>
    </row>
    <row r="11" spans="1:8" ht="15.5">
      <c r="A11" s="13">
        <v>45936</v>
      </c>
      <c r="B11" s="12">
        <v>1659</v>
      </c>
      <c r="C11" s="14" t="s">
        <v>980</v>
      </c>
      <c r="F11" s="4"/>
      <c r="G11" s="9" t="s">
        <v>200</v>
      </c>
      <c r="H11" s="9">
        <v>50000</v>
      </c>
    </row>
    <row r="12" spans="1:8" ht="15.5">
      <c r="A12" s="13">
        <v>45936</v>
      </c>
      <c r="B12" s="12">
        <v>2802</v>
      </c>
      <c r="C12" s="14" t="s">
        <v>955</v>
      </c>
      <c r="F12" s="4"/>
      <c r="G12" s="9" t="s">
        <v>19</v>
      </c>
      <c r="H12" s="9">
        <v>10000</v>
      </c>
    </row>
    <row r="13" spans="1:8" ht="15.5">
      <c r="A13" s="13">
        <v>45936</v>
      </c>
      <c r="B13" s="12">
        <v>450</v>
      </c>
      <c r="C13" s="14" t="s">
        <v>988</v>
      </c>
      <c r="F13" s="4"/>
      <c r="G13" s="9" t="s">
        <v>1027</v>
      </c>
      <c r="H13" s="9">
        <v>10000</v>
      </c>
    </row>
    <row r="14" spans="1:8" ht="15.5">
      <c r="A14" s="13">
        <v>45936</v>
      </c>
      <c r="B14" s="12">
        <v>2844</v>
      </c>
      <c r="C14" s="14" t="s">
        <v>990</v>
      </c>
      <c r="F14" s="4"/>
      <c r="G14" s="9" t="s">
        <v>23</v>
      </c>
      <c r="H14" s="9">
        <v>10000</v>
      </c>
    </row>
    <row r="15" spans="1:8" ht="15.5">
      <c r="A15" s="13">
        <v>45937</v>
      </c>
      <c r="B15" s="12">
        <v>690</v>
      </c>
      <c r="C15" s="14" t="s">
        <v>19</v>
      </c>
      <c r="F15" s="4"/>
      <c r="G15" s="9" t="s">
        <v>25</v>
      </c>
      <c r="H15" s="9">
        <v>2000</v>
      </c>
    </row>
    <row r="16" spans="1:8" ht="15.5">
      <c r="A16" s="13">
        <v>45938</v>
      </c>
      <c r="B16" s="12">
        <v>400</v>
      </c>
      <c r="C16" s="14" t="s">
        <v>989</v>
      </c>
      <c r="F16" s="4"/>
      <c r="G16" s="9" t="s">
        <v>818</v>
      </c>
      <c r="H16" s="9">
        <v>600</v>
      </c>
    </row>
    <row r="17" spans="1:10" ht="15.5">
      <c r="A17" s="13">
        <v>45939</v>
      </c>
      <c r="B17" s="12">
        <v>1084</v>
      </c>
      <c r="C17" s="14" t="s">
        <v>999</v>
      </c>
      <c r="F17" s="4"/>
      <c r="G17" s="9"/>
      <c r="H17" s="9"/>
    </row>
    <row r="18" spans="1:10" ht="15.5">
      <c r="A18" s="13">
        <v>45940</v>
      </c>
      <c r="B18" s="12">
        <v>1847</v>
      </c>
      <c r="C18" s="14" t="s">
        <v>6</v>
      </c>
      <c r="F18" s="4"/>
      <c r="G18" s="15" t="s">
        <v>27</v>
      </c>
      <c r="H18" s="15">
        <f>-SUM(H4:H16)</f>
        <v>-165200</v>
      </c>
      <c r="I18" s="15">
        <f>SUM(H4:H16)</f>
        <v>165200</v>
      </c>
      <c r="J18" s="9">
        <f>+I18/30</f>
        <v>5506.666666666667</v>
      </c>
    </row>
    <row r="19" spans="1:10" ht="15.5">
      <c r="A19" s="13">
        <v>45940</v>
      </c>
      <c r="B19" s="12">
        <v>599.6</v>
      </c>
      <c r="C19" s="14" t="s">
        <v>19</v>
      </c>
      <c r="F19" s="4"/>
      <c r="G19" s="5" t="s">
        <v>29</v>
      </c>
      <c r="H19" s="5">
        <f>+H18/54</f>
        <v>-3059.2592592592591</v>
      </c>
    </row>
    <row r="20" spans="1:10" ht="15.5">
      <c r="A20" s="13">
        <v>45940</v>
      </c>
      <c r="B20" s="12">
        <v>-84000</v>
      </c>
      <c r="C20" s="14" t="s">
        <v>998</v>
      </c>
      <c r="F20" s="4"/>
      <c r="G20" s="5" t="s">
        <v>547</v>
      </c>
      <c r="H20" s="5">
        <f>1321*60</f>
        <v>79260</v>
      </c>
    </row>
    <row r="21" spans="1:10" ht="15.5">
      <c r="A21" s="13">
        <v>45941</v>
      </c>
      <c r="B21" s="12">
        <v>2500</v>
      </c>
      <c r="C21" s="14" t="s">
        <v>119</v>
      </c>
      <c r="F21" s="4"/>
      <c r="G21" s="5" t="s">
        <v>823</v>
      </c>
      <c r="H21" s="5">
        <v>4000</v>
      </c>
    </row>
    <row r="22" spans="1:10" ht="15.5">
      <c r="A22" s="13">
        <v>45941</v>
      </c>
      <c r="B22" s="12">
        <v>909</v>
      </c>
      <c r="C22" s="14" t="s">
        <v>235</v>
      </c>
      <c r="F22" s="4"/>
      <c r="G22" s="137" t="s">
        <v>824</v>
      </c>
      <c r="H22" s="5">
        <v>15000</v>
      </c>
      <c r="J22" s="2"/>
    </row>
    <row r="23" spans="1:10" ht="15.5">
      <c r="A23" s="13">
        <v>45941</v>
      </c>
      <c r="B23" s="12">
        <v>185</v>
      </c>
      <c r="C23" s="14" t="s">
        <v>223</v>
      </c>
      <c r="F23" s="4"/>
      <c r="G23" s="5" t="s">
        <v>910</v>
      </c>
      <c r="H23" s="5">
        <v>30000</v>
      </c>
    </row>
    <row r="24" spans="1:10" ht="15.5">
      <c r="A24" s="13">
        <v>45942</v>
      </c>
      <c r="B24" s="12">
        <v>12200</v>
      </c>
      <c r="C24" s="14" t="s">
        <v>200</v>
      </c>
      <c r="F24" s="4"/>
      <c r="G24" s="137" t="s">
        <v>927</v>
      </c>
      <c r="H24" s="161">
        <v>15357</v>
      </c>
    </row>
    <row r="25" spans="1:10" ht="15.5">
      <c r="A25" s="13">
        <v>45943</v>
      </c>
      <c r="B25" s="12">
        <v>1509</v>
      </c>
      <c r="C25" s="14" t="s">
        <v>1005</v>
      </c>
      <c r="F25" s="4"/>
      <c r="G25" s="5" t="s">
        <v>928</v>
      </c>
      <c r="H25" s="5">
        <v>19127</v>
      </c>
      <c r="J25" s="11"/>
    </row>
    <row r="26" spans="1:10" ht="15.5">
      <c r="A26" s="13">
        <v>45943</v>
      </c>
      <c r="B26" s="12">
        <v>1663</v>
      </c>
      <c r="C26" s="14" t="s">
        <v>37</v>
      </c>
      <c r="D26">
        <v>1663</v>
      </c>
      <c r="F26" s="4"/>
      <c r="G26" s="137" t="s">
        <v>1026</v>
      </c>
      <c r="H26" s="161">
        <v>95000</v>
      </c>
      <c r="I26" s="162">
        <f>SUM(H20:H26)</f>
        <v>257744</v>
      </c>
    </row>
    <row r="27" spans="1:10" ht="15.5">
      <c r="A27" s="13">
        <v>45943</v>
      </c>
      <c r="B27" s="12">
        <v>909</v>
      </c>
      <c r="C27" s="14" t="s">
        <v>235</v>
      </c>
      <c r="F27" s="4"/>
      <c r="G27" s="5"/>
      <c r="H27" s="5"/>
    </row>
    <row r="28" spans="1:10" ht="15.5">
      <c r="A28" s="13">
        <v>45943</v>
      </c>
      <c r="B28" s="12">
        <v>195</v>
      </c>
      <c r="C28" s="14" t="s">
        <v>223</v>
      </c>
      <c r="F28" s="4"/>
      <c r="G28" s="159" t="s">
        <v>548</v>
      </c>
      <c r="H28" s="159">
        <f>+I26-I18</f>
        <v>92544</v>
      </c>
    </row>
    <row r="29" spans="1:10" ht="15.5">
      <c r="A29" s="13">
        <v>45945</v>
      </c>
      <c r="B29" s="12">
        <v>7000</v>
      </c>
      <c r="C29" s="14" t="s">
        <v>789</v>
      </c>
      <c r="F29" s="17"/>
      <c r="G29" s="5"/>
      <c r="H29" s="5"/>
    </row>
    <row r="30" spans="1:10" ht="15.5">
      <c r="A30" s="13">
        <v>45946</v>
      </c>
      <c r="B30" s="12">
        <v>805</v>
      </c>
      <c r="C30" s="14" t="s">
        <v>19</v>
      </c>
      <c r="F30" s="4"/>
      <c r="G30" s="5"/>
      <c r="H30" s="5"/>
    </row>
    <row r="31" spans="1:10" ht="15.5">
      <c r="A31" s="13">
        <v>45946</v>
      </c>
      <c r="B31" s="12">
        <v>2495</v>
      </c>
      <c r="C31" s="14" t="s">
        <v>37</v>
      </c>
      <c r="D31">
        <v>2495</v>
      </c>
      <c r="F31" s="4"/>
      <c r="G31" s="5"/>
      <c r="H31" s="5"/>
    </row>
    <row r="32" spans="1:10" ht="15.5">
      <c r="A32" s="13">
        <v>45947</v>
      </c>
      <c r="B32" s="12">
        <v>380</v>
      </c>
      <c r="C32" s="14" t="s">
        <v>1004</v>
      </c>
      <c r="F32" s="4"/>
      <c r="G32" s="5"/>
      <c r="H32" s="5"/>
    </row>
    <row r="33" spans="1:10" ht="15.5">
      <c r="A33" s="13">
        <v>45950</v>
      </c>
      <c r="B33" s="12">
        <v>3567</v>
      </c>
      <c r="C33" s="14" t="s">
        <v>6</v>
      </c>
      <c r="F33" s="4"/>
      <c r="G33" s="5"/>
      <c r="H33" s="5"/>
    </row>
    <row r="34" spans="1:10" ht="15.5">
      <c r="A34" s="13">
        <v>45950</v>
      </c>
      <c r="B34" s="12">
        <v>24000</v>
      </c>
      <c r="C34" s="14" t="s">
        <v>200</v>
      </c>
      <c r="F34" s="4"/>
      <c r="G34" s="5"/>
      <c r="H34" s="5"/>
      <c r="J34" s="11"/>
    </row>
    <row r="35" spans="1:10" ht="15.5">
      <c r="A35" s="13">
        <v>45950</v>
      </c>
      <c r="B35" s="12">
        <v>14000</v>
      </c>
      <c r="C35" s="14" t="s">
        <v>540</v>
      </c>
      <c r="F35" s="4"/>
      <c r="H35" s="5"/>
    </row>
    <row r="36" spans="1:10" ht="15.5">
      <c r="A36" s="13">
        <v>45954</v>
      </c>
      <c r="B36" s="12">
        <v>402</v>
      </c>
      <c r="C36" s="14" t="s">
        <v>1007</v>
      </c>
      <c r="F36" s="4"/>
      <c r="H36" s="5"/>
    </row>
    <row r="37" spans="1:10" ht="15.5">
      <c r="A37" s="13">
        <v>45956</v>
      </c>
      <c r="B37" s="12">
        <v>1000</v>
      </c>
      <c r="C37" s="14" t="s">
        <v>815</v>
      </c>
      <c r="F37" s="19"/>
      <c r="H37" s="5"/>
    </row>
    <row r="38" spans="1:10" ht="15.5">
      <c r="A38" s="13">
        <v>45957</v>
      </c>
      <c r="B38" s="12">
        <v>1920</v>
      </c>
      <c r="C38" s="14" t="s">
        <v>19</v>
      </c>
      <c r="F38" s="4"/>
      <c r="H38" s="5"/>
    </row>
    <row r="39" spans="1:10" ht="15.5">
      <c r="A39" s="13">
        <v>45957</v>
      </c>
      <c r="B39" s="12">
        <v>1458</v>
      </c>
      <c r="C39" s="14" t="s">
        <v>53</v>
      </c>
      <c r="F39" s="4"/>
      <c r="H39" s="5"/>
    </row>
    <row r="40" spans="1:10" ht="15.5">
      <c r="A40" s="13">
        <v>45957</v>
      </c>
      <c r="B40" s="12">
        <v>16578</v>
      </c>
      <c r="C40" s="14" t="s">
        <v>1006</v>
      </c>
      <c r="F40" s="4"/>
      <c r="H40" s="5"/>
    </row>
    <row r="41" spans="1:10" ht="15.5">
      <c r="A41" s="13">
        <v>45957</v>
      </c>
      <c r="B41" s="12">
        <v>430</v>
      </c>
      <c r="C41" s="14" t="s">
        <v>37</v>
      </c>
      <c r="D41">
        <v>430</v>
      </c>
      <c r="F41" s="4"/>
      <c r="H41" s="5"/>
    </row>
    <row r="42" spans="1:10" ht="15.5">
      <c r="A42" s="13">
        <v>45957</v>
      </c>
      <c r="B42" s="12">
        <v>3338</v>
      </c>
      <c r="C42" s="14" t="s">
        <v>6</v>
      </c>
      <c r="H42" s="5"/>
    </row>
    <row r="43" spans="1:10" ht="15.5">
      <c r="A43" s="13">
        <v>45960</v>
      </c>
      <c r="B43" s="12">
        <v>7000</v>
      </c>
      <c r="C43" s="14" t="s">
        <v>799</v>
      </c>
      <c r="F43" s="4"/>
      <c r="H43" s="5"/>
    </row>
    <row r="44" spans="1:10" ht="15.5">
      <c r="A44" s="13"/>
      <c r="B44" s="12"/>
      <c r="C44" s="14"/>
      <c r="F44" s="4"/>
      <c r="H44" s="5"/>
    </row>
    <row r="45" spans="1:10" ht="15.5">
      <c r="A45" s="13"/>
      <c r="B45" s="12">
        <f>SUM(B1:B43)</f>
        <v>45783.6</v>
      </c>
      <c r="C45" s="12">
        <f>+B45/27</f>
        <v>1695.6888888888889</v>
      </c>
      <c r="F45" s="4"/>
      <c r="G45" s="5"/>
      <c r="H45" s="5"/>
      <c r="J45" s="2"/>
    </row>
    <row r="46" spans="1:10" ht="15.5">
      <c r="F46" s="4"/>
      <c r="G46" s="5"/>
      <c r="H46" s="5"/>
    </row>
    <row r="47" spans="1:10" ht="15.5">
      <c r="F47" s="4"/>
      <c r="G47" s="5"/>
      <c r="H47" s="5"/>
    </row>
    <row r="48" spans="1:10" ht="15.5">
      <c r="A48" s="208" t="s">
        <v>1018</v>
      </c>
      <c r="B48" s="208"/>
      <c r="C48" s="208"/>
      <c r="F48" s="4"/>
      <c r="G48" s="5"/>
      <c r="H48" s="5"/>
      <c r="J48" s="11"/>
    </row>
    <row r="49" spans="1:10" ht="15.5">
      <c r="A49" s="6" t="s">
        <v>1</v>
      </c>
      <c r="B49" s="7" t="s">
        <v>2</v>
      </c>
      <c r="C49" s="6" t="s">
        <v>3</v>
      </c>
      <c r="F49" s="4"/>
      <c r="G49" s="5"/>
      <c r="H49" s="5"/>
      <c r="J49" s="11"/>
    </row>
    <row r="50" spans="1:10" ht="15.5">
      <c r="A50" s="13"/>
      <c r="B50" s="12"/>
      <c r="C50" s="14"/>
      <c r="F50" s="4"/>
      <c r="G50" s="5"/>
      <c r="H50" s="5"/>
    </row>
    <row r="51" spans="1:10" ht="15.5">
      <c r="A51" s="13">
        <v>45978</v>
      </c>
      <c r="B51" s="12">
        <v>300</v>
      </c>
      <c r="C51" s="14" t="s">
        <v>989</v>
      </c>
      <c r="F51" s="4"/>
      <c r="G51" s="5"/>
      <c r="H51" s="5">
        <v>284865</v>
      </c>
    </row>
    <row r="52" spans="1:10" ht="15.5">
      <c r="A52" s="13"/>
      <c r="B52" s="12"/>
      <c r="C52" s="14"/>
      <c r="F52" s="4"/>
      <c r="G52" s="5"/>
      <c r="H52" s="5">
        <v>90000</v>
      </c>
    </row>
    <row r="53" spans="1:10" ht="15.5">
      <c r="A53" s="13">
        <v>45980</v>
      </c>
      <c r="B53" s="14">
        <v>5000</v>
      </c>
      <c r="C53" s="135" t="s">
        <v>105</v>
      </c>
      <c r="F53" s="17"/>
      <c r="G53" s="5"/>
      <c r="H53" s="5">
        <v>5000</v>
      </c>
    </row>
    <row r="54" spans="1:10" ht="15.5">
      <c r="A54" s="13">
        <v>45980</v>
      </c>
      <c r="B54" s="14">
        <v>1300</v>
      </c>
      <c r="C54" s="135" t="s">
        <v>105</v>
      </c>
      <c r="F54" s="4"/>
      <c r="G54" s="5"/>
      <c r="H54" s="5"/>
    </row>
    <row r="55" spans="1:10" ht="15.5">
      <c r="A55" s="13">
        <v>45980</v>
      </c>
      <c r="B55" s="14">
        <v>1000</v>
      </c>
      <c r="C55" s="135" t="s">
        <v>821</v>
      </c>
      <c r="F55" s="4"/>
      <c r="G55" s="5"/>
      <c r="H55" s="5"/>
    </row>
    <row r="56" spans="1:10" ht="15.5">
      <c r="A56" s="13">
        <v>45982</v>
      </c>
      <c r="B56" s="14">
        <v>158000</v>
      </c>
      <c r="C56" s="135" t="s">
        <v>1038</v>
      </c>
      <c r="D56">
        <v>158</v>
      </c>
      <c r="F56" s="4"/>
      <c r="G56" s="5"/>
      <c r="H56" s="5"/>
    </row>
    <row r="57" spans="1:10" ht="15.5">
      <c r="A57" s="13">
        <v>45982</v>
      </c>
      <c r="B57" s="14">
        <v>8000</v>
      </c>
      <c r="C57" s="135" t="s">
        <v>1038</v>
      </c>
      <c r="D57">
        <v>8</v>
      </c>
      <c r="F57" s="4"/>
      <c r="G57" s="5"/>
      <c r="H57" s="5"/>
    </row>
    <row r="58" spans="1:10" ht="15.5">
      <c r="A58" s="13">
        <v>45981</v>
      </c>
      <c r="B58" s="14">
        <v>3000</v>
      </c>
      <c r="C58" s="135" t="s">
        <v>5</v>
      </c>
      <c r="D58">
        <v>3</v>
      </c>
      <c r="F58" s="4"/>
      <c r="G58" s="5"/>
      <c r="H58" s="5"/>
    </row>
    <row r="59" spans="1:10" ht="15.5">
      <c r="A59" s="13">
        <v>45988</v>
      </c>
      <c r="B59" s="14">
        <v>160</v>
      </c>
      <c r="C59" s="135" t="s">
        <v>1039</v>
      </c>
      <c r="F59" s="4"/>
      <c r="G59" s="5"/>
      <c r="H59" s="5"/>
    </row>
    <row r="60" spans="1:10" ht="15.5">
      <c r="A60" s="13">
        <v>45988</v>
      </c>
      <c r="B60" s="14">
        <v>2713</v>
      </c>
      <c r="C60" s="135" t="s">
        <v>37</v>
      </c>
      <c r="F60" s="4"/>
      <c r="G60" s="5"/>
      <c r="H60" s="5"/>
    </row>
    <row r="61" spans="1:10" ht="15.5">
      <c r="A61" s="13">
        <v>45987</v>
      </c>
      <c r="B61" s="12">
        <v>1000</v>
      </c>
      <c r="C61" s="14" t="s">
        <v>815</v>
      </c>
      <c r="F61" s="4"/>
      <c r="G61" s="5"/>
      <c r="H61" s="5"/>
    </row>
    <row r="62" spans="1:10" ht="15.5">
      <c r="A62" s="13">
        <v>45986</v>
      </c>
      <c r="B62" s="12">
        <v>2115</v>
      </c>
      <c r="C62" s="14" t="s">
        <v>37</v>
      </c>
      <c r="F62" s="4"/>
      <c r="G62" s="5"/>
      <c r="H62" s="5"/>
    </row>
    <row r="63" spans="1:10" ht="15.5">
      <c r="A63" s="13">
        <v>45985</v>
      </c>
      <c r="B63" s="12">
        <v>2560</v>
      </c>
      <c r="C63" s="14" t="s">
        <v>37</v>
      </c>
      <c r="F63" s="4"/>
      <c r="G63" s="5"/>
      <c r="H63" s="5"/>
    </row>
    <row r="64" spans="1:10" ht="15.5">
      <c r="A64" s="13">
        <v>45973</v>
      </c>
      <c r="B64" s="12">
        <v>100000</v>
      </c>
      <c r="C64" s="14" t="s">
        <v>825</v>
      </c>
      <c r="F64" s="4"/>
      <c r="G64" s="5"/>
      <c r="H64" s="5"/>
    </row>
    <row r="65" spans="1:8" ht="15.5">
      <c r="A65" s="13">
        <v>45982</v>
      </c>
      <c r="B65" s="12">
        <v>275</v>
      </c>
      <c r="C65" s="14" t="s">
        <v>177</v>
      </c>
      <c r="F65" s="4"/>
      <c r="G65" s="5"/>
      <c r="H65" s="5"/>
    </row>
    <row r="66" spans="1:8" ht="15.5">
      <c r="A66" s="13">
        <v>45982</v>
      </c>
      <c r="B66" s="12">
        <v>595</v>
      </c>
      <c r="C66" s="14" t="s">
        <v>37</v>
      </c>
      <c r="F66" s="4"/>
      <c r="G66" s="5"/>
      <c r="H66" s="5"/>
    </row>
    <row r="67" spans="1:8" ht="15.5">
      <c r="A67" s="13">
        <v>45966</v>
      </c>
      <c r="B67" s="12">
        <v>653</v>
      </c>
      <c r="C67" s="14" t="s">
        <v>787</v>
      </c>
      <c r="F67" s="4"/>
      <c r="G67" s="5"/>
      <c r="H67" s="5"/>
    </row>
    <row r="68" spans="1:8" ht="15.5">
      <c r="A68" s="13">
        <v>45966</v>
      </c>
      <c r="B68" s="12">
        <v>9000</v>
      </c>
      <c r="C68" s="14" t="s">
        <v>1035</v>
      </c>
      <c r="F68" s="4"/>
      <c r="G68" s="5"/>
      <c r="H68" s="5"/>
    </row>
    <row r="69" spans="1:8" ht="15.5">
      <c r="A69" s="13">
        <v>45966</v>
      </c>
      <c r="B69" s="12">
        <v>3442</v>
      </c>
      <c r="C69" s="14" t="s">
        <v>6</v>
      </c>
      <c r="F69" s="4"/>
      <c r="G69" s="5"/>
      <c r="H69" s="5"/>
    </row>
    <row r="70" spans="1:8" ht="15.5">
      <c r="A70" s="13">
        <v>45966</v>
      </c>
      <c r="B70" s="12">
        <v>1365</v>
      </c>
      <c r="C70" s="14" t="s">
        <v>177</v>
      </c>
      <c r="F70" s="4"/>
      <c r="G70" s="5"/>
      <c r="H70" s="5"/>
    </row>
    <row r="71" spans="1:8" ht="15.5">
      <c r="A71" s="13">
        <v>45967</v>
      </c>
      <c r="B71" s="12">
        <v>1659</v>
      </c>
      <c r="C71" s="14" t="s">
        <v>980</v>
      </c>
      <c r="F71" s="4"/>
      <c r="G71" s="5"/>
      <c r="H71" s="5"/>
    </row>
    <row r="72" spans="1:8" ht="15.5">
      <c r="A72" s="13">
        <v>45968</v>
      </c>
      <c r="B72" s="12">
        <v>819</v>
      </c>
      <c r="C72" s="14" t="s">
        <v>1034</v>
      </c>
      <c r="F72" s="4"/>
      <c r="G72" s="5"/>
      <c r="H72" s="5"/>
    </row>
    <row r="73" spans="1:8" ht="15.5">
      <c r="A73" s="13">
        <v>45971</v>
      </c>
      <c r="B73" s="12">
        <v>30000</v>
      </c>
      <c r="C73" s="14" t="s">
        <v>200</v>
      </c>
      <c r="F73" s="4"/>
      <c r="G73" s="5"/>
      <c r="H73" s="5"/>
    </row>
    <row r="74" spans="1:8" ht="15.5">
      <c r="A74" s="13">
        <v>45972</v>
      </c>
      <c r="B74" s="12">
        <v>8695</v>
      </c>
      <c r="C74" s="14" t="s">
        <v>1037</v>
      </c>
      <c r="F74" s="4"/>
      <c r="G74" s="5"/>
      <c r="H74" s="5"/>
    </row>
    <row r="75" spans="1:8" ht="15.5">
      <c r="A75" s="13">
        <v>45972</v>
      </c>
      <c r="B75" s="12">
        <v>2500</v>
      </c>
      <c r="C75" s="14" t="s">
        <v>1036</v>
      </c>
      <c r="F75" s="4"/>
      <c r="G75" s="5"/>
      <c r="H75" s="5"/>
    </row>
    <row r="76" spans="1:8" ht="15.5">
      <c r="A76" s="13">
        <v>45972</v>
      </c>
      <c r="B76" s="12">
        <v>3440</v>
      </c>
      <c r="C76" s="14" t="s">
        <v>177</v>
      </c>
      <c r="F76" s="4"/>
      <c r="G76" s="5"/>
      <c r="H76" s="5"/>
    </row>
    <row r="77" spans="1:8" ht="15.5">
      <c r="A77" s="13">
        <v>45973</v>
      </c>
      <c r="B77" s="135">
        <v>196000</v>
      </c>
      <c r="C77" s="14" t="s">
        <v>976</v>
      </c>
      <c r="F77" s="4"/>
      <c r="G77" s="5"/>
      <c r="H77" s="5"/>
    </row>
    <row r="78" spans="1:8" ht="15.5">
      <c r="A78" s="13">
        <v>45973</v>
      </c>
      <c r="B78" s="12">
        <v>7064</v>
      </c>
      <c r="C78" s="14" t="s">
        <v>37</v>
      </c>
      <c r="F78" s="4"/>
      <c r="G78" s="5"/>
      <c r="H78" s="5"/>
    </row>
    <row r="79" spans="1:8" ht="15.5">
      <c r="A79" s="13">
        <v>45974</v>
      </c>
      <c r="B79" s="12">
        <v>416</v>
      </c>
      <c r="C79" s="14" t="s">
        <v>1033</v>
      </c>
      <c r="F79" s="4"/>
      <c r="G79" s="5"/>
      <c r="H79" s="5"/>
    </row>
    <row r="80" spans="1:8" ht="15.5">
      <c r="A80" s="13">
        <v>45974</v>
      </c>
      <c r="B80" s="12">
        <v>3000</v>
      </c>
      <c r="C80" s="14" t="s">
        <v>6</v>
      </c>
      <c r="F80" s="4"/>
      <c r="G80" s="5"/>
      <c r="H80" s="5"/>
    </row>
    <row r="81" spans="1:8" ht="15.5">
      <c r="A81" s="13">
        <v>45975</v>
      </c>
      <c r="B81" s="12">
        <v>3200</v>
      </c>
      <c r="C81" s="14" t="s">
        <v>105</v>
      </c>
      <c r="F81" s="4"/>
      <c r="G81" s="5"/>
      <c r="H81" s="5"/>
    </row>
    <row r="82" spans="1:8" ht="15.5">
      <c r="A82" s="13">
        <v>45976</v>
      </c>
      <c r="B82" s="12">
        <v>7000</v>
      </c>
      <c r="C82" s="14" t="s">
        <v>789</v>
      </c>
      <c r="F82" s="4"/>
      <c r="G82" s="5"/>
      <c r="H82" s="5"/>
    </row>
    <row r="83" spans="1:8" ht="15.5">
      <c r="A83" s="13">
        <v>45977</v>
      </c>
      <c r="B83" s="12">
        <v>10000</v>
      </c>
      <c r="C83" s="14" t="s">
        <v>1031</v>
      </c>
      <c r="F83" s="4"/>
      <c r="G83" s="5"/>
      <c r="H83" s="5"/>
    </row>
    <row r="84" spans="1:8" ht="15.5">
      <c r="A84" s="13">
        <v>45978</v>
      </c>
      <c r="B84" s="12">
        <v>21000</v>
      </c>
      <c r="C84" s="14" t="s">
        <v>1030</v>
      </c>
      <c r="F84" s="4"/>
      <c r="G84" s="5"/>
      <c r="H84" s="5"/>
    </row>
    <row r="85" spans="1:8" ht="15.5">
      <c r="A85" s="13">
        <v>45978</v>
      </c>
      <c r="B85" s="12">
        <v>4000</v>
      </c>
      <c r="C85" s="14" t="s">
        <v>1032</v>
      </c>
      <c r="F85" s="4"/>
      <c r="G85" s="5"/>
      <c r="H85" s="5"/>
    </row>
    <row r="86" spans="1:8" ht="15.5">
      <c r="A86" s="13">
        <v>45978</v>
      </c>
      <c r="B86" s="12">
        <v>1000</v>
      </c>
      <c r="C86" s="14" t="s">
        <v>906</v>
      </c>
      <c r="F86" s="4"/>
      <c r="G86" s="5"/>
      <c r="H86" s="5"/>
    </row>
    <row r="87" spans="1:8" ht="15.5">
      <c r="A87" s="13">
        <v>45978</v>
      </c>
      <c r="B87" s="12">
        <v>3248</v>
      </c>
      <c r="C87" s="14" t="s">
        <v>6</v>
      </c>
      <c r="F87" s="4"/>
      <c r="G87" s="5"/>
      <c r="H87" s="5"/>
    </row>
    <row r="88" spans="1:8" ht="15.5">
      <c r="A88" s="13">
        <v>45978</v>
      </c>
      <c r="B88" s="12">
        <v>2653</v>
      </c>
      <c r="C88" s="14" t="s">
        <v>955</v>
      </c>
      <c r="F88" s="4"/>
      <c r="G88" s="5"/>
      <c r="H88" s="5"/>
    </row>
    <row r="89" spans="1:8" ht="15.5">
      <c r="A89" s="13">
        <v>45978</v>
      </c>
      <c r="B89" s="12">
        <v>1723</v>
      </c>
      <c r="C89" s="14" t="s">
        <v>114</v>
      </c>
      <c r="F89" s="4"/>
      <c r="G89" s="5"/>
      <c r="H89" s="5"/>
    </row>
    <row r="90" spans="1:8" ht="15.5">
      <c r="A90" s="13">
        <v>45991</v>
      </c>
      <c r="B90" s="12">
        <v>7000</v>
      </c>
      <c r="C90" s="14" t="s">
        <v>799</v>
      </c>
      <c r="F90" s="4"/>
      <c r="G90" s="5"/>
      <c r="H90" s="5"/>
    </row>
    <row r="91" spans="1:8" ht="15.5">
      <c r="A91" s="13">
        <v>45982</v>
      </c>
      <c r="B91" s="12">
        <v>3000</v>
      </c>
      <c r="C91" s="14" t="s">
        <v>855</v>
      </c>
      <c r="F91" s="4"/>
      <c r="G91" s="5"/>
      <c r="H91" s="5"/>
    </row>
    <row r="92" spans="1:8" ht="15.5">
      <c r="A92" s="13">
        <v>45981</v>
      </c>
      <c r="B92" s="12">
        <v>5000</v>
      </c>
      <c r="C92" s="14" t="s">
        <v>909</v>
      </c>
      <c r="F92" s="4"/>
      <c r="G92" s="5"/>
      <c r="H92" s="5"/>
    </row>
    <row r="93" spans="1:8" ht="15.5">
      <c r="A93" s="13">
        <v>45981</v>
      </c>
      <c r="B93" s="12">
        <f>4000*65</f>
        <v>260000</v>
      </c>
      <c r="C93" s="14" t="s">
        <v>1040</v>
      </c>
      <c r="F93" s="4"/>
      <c r="G93" s="5"/>
      <c r="H93" s="5"/>
    </row>
    <row r="94" spans="1:8" ht="15.5">
      <c r="A94" s="13"/>
      <c r="B94" s="12"/>
      <c r="C94" s="14"/>
      <c r="F94" s="4"/>
      <c r="G94" s="5"/>
      <c r="H94" s="5"/>
    </row>
    <row r="95" spans="1:8" ht="15.5">
      <c r="A95" s="13"/>
      <c r="B95" s="12"/>
      <c r="C95" s="14"/>
      <c r="F95" s="4"/>
      <c r="G95" s="5"/>
      <c r="H95" s="5"/>
    </row>
    <row r="96" spans="1:8" ht="15.5">
      <c r="A96" s="13"/>
      <c r="B96" s="12"/>
      <c r="C96" s="14"/>
      <c r="F96" s="4"/>
      <c r="G96" s="5"/>
      <c r="H96" s="5"/>
    </row>
    <row r="97" spans="1:8" ht="17">
      <c r="A97" s="13"/>
      <c r="B97" s="12">
        <f>SUM(B50:B96)</f>
        <v>882895</v>
      </c>
      <c r="C97" s="180">
        <f>+B97/28</f>
        <v>31531.964285714286</v>
      </c>
      <c r="F97" s="4"/>
      <c r="G97" s="5"/>
      <c r="H97" s="5"/>
    </row>
    <row r="98" spans="1:8" ht="15.5">
      <c r="F98" s="4"/>
      <c r="G98" s="5"/>
      <c r="H98" s="5"/>
    </row>
    <row r="99" spans="1:8" ht="15.5">
      <c r="F99" s="4"/>
      <c r="G99" s="5"/>
      <c r="H99" s="5"/>
    </row>
    <row r="100" spans="1:8" ht="15.5">
      <c r="F100" s="4"/>
      <c r="G100" s="5"/>
      <c r="H100" s="5"/>
    </row>
    <row r="101" spans="1:8" ht="15.5">
      <c r="F101" s="4"/>
      <c r="G101" s="5"/>
      <c r="H101" s="5"/>
    </row>
    <row r="102" spans="1:8" ht="15.5">
      <c r="A102" s="208" t="s">
        <v>1051</v>
      </c>
      <c r="B102" s="208"/>
      <c r="C102" s="208"/>
      <c r="F102" s="4"/>
      <c r="G102" s="5"/>
      <c r="H102" s="5"/>
    </row>
    <row r="103" spans="1:8" ht="15.5">
      <c r="A103" s="6" t="s">
        <v>1</v>
      </c>
      <c r="B103" s="7" t="s">
        <v>2</v>
      </c>
      <c r="C103" s="6" t="s">
        <v>3</v>
      </c>
      <c r="F103" s="4"/>
      <c r="G103" s="5"/>
      <c r="H103" s="5"/>
    </row>
    <row r="104" spans="1:8" ht="15.5">
      <c r="A104" s="13">
        <v>46001</v>
      </c>
      <c r="B104" s="12">
        <v>1842</v>
      </c>
      <c r="C104" s="14" t="s">
        <v>190</v>
      </c>
      <c r="F104" s="4"/>
      <c r="G104" s="5"/>
      <c r="H104" s="5"/>
    </row>
    <row r="105" spans="1:8" ht="15.5">
      <c r="A105" s="13"/>
      <c r="B105" s="12">
        <v>300</v>
      </c>
      <c r="C105" s="14" t="s">
        <v>989</v>
      </c>
      <c r="F105" s="4"/>
      <c r="G105" s="5"/>
      <c r="H105" s="5"/>
    </row>
    <row r="106" spans="1:8" ht="15.5">
      <c r="A106" s="13">
        <v>45992</v>
      </c>
      <c r="B106" s="12">
        <v>13500</v>
      </c>
      <c r="C106" s="14" t="s">
        <v>1053</v>
      </c>
      <c r="F106" s="4"/>
      <c r="G106" s="5"/>
      <c r="H106" s="5"/>
    </row>
    <row r="107" spans="1:8" ht="15.5">
      <c r="A107" s="13">
        <v>45994</v>
      </c>
      <c r="B107" s="2">
        <v>9000</v>
      </c>
      <c r="C107" s="14" t="s">
        <v>1054</v>
      </c>
      <c r="F107" s="4"/>
      <c r="G107" s="5"/>
      <c r="H107" s="5"/>
    </row>
    <row r="108" spans="1:8" ht="15.5">
      <c r="A108" s="13">
        <v>45995</v>
      </c>
      <c r="B108" s="14">
        <v>3000</v>
      </c>
      <c r="C108" s="135" t="s">
        <v>1055</v>
      </c>
      <c r="F108" s="4"/>
      <c r="G108" s="5"/>
      <c r="H108" s="5"/>
    </row>
    <row r="109" spans="1:8" ht="15.5">
      <c r="A109" s="13">
        <v>45996</v>
      </c>
      <c r="B109" s="14">
        <v>1000</v>
      </c>
      <c r="C109" s="135" t="s">
        <v>107</v>
      </c>
      <c r="F109" s="4"/>
      <c r="G109" s="5"/>
      <c r="H109" s="5"/>
    </row>
    <row r="110" spans="1:8" ht="15.5">
      <c r="A110" s="13">
        <v>45996</v>
      </c>
      <c r="B110" s="14">
        <v>23000</v>
      </c>
      <c r="C110" s="135" t="s">
        <v>1056</v>
      </c>
      <c r="F110" s="4"/>
      <c r="G110" s="5"/>
      <c r="H110" s="5"/>
    </row>
    <row r="111" spans="1:8" ht="15.5">
      <c r="A111" s="13">
        <v>45996</v>
      </c>
      <c r="B111" s="14">
        <v>1000</v>
      </c>
      <c r="C111" s="135" t="s">
        <v>1057</v>
      </c>
      <c r="F111" s="4"/>
      <c r="G111" s="5"/>
      <c r="H111" s="5"/>
    </row>
    <row r="112" spans="1:8" ht="15.5">
      <c r="A112" s="13"/>
      <c r="B112" s="14"/>
      <c r="C112" s="135" t="s">
        <v>5</v>
      </c>
      <c r="F112" s="4"/>
      <c r="G112" s="5"/>
      <c r="H112" s="5"/>
    </row>
    <row r="113" spans="1:8" ht="15.5">
      <c r="A113" s="13"/>
      <c r="B113" s="14"/>
      <c r="C113" s="135" t="s">
        <v>1039</v>
      </c>
      <c r="F113" s="4"/>
      <c r="G113" s="5"/>
      <c r="H113" s="5"/>
    </row>
    <row r="114" spans="1:8" ht="15.5">
      <c r="A114" s="13"/>
      <c r="B114" s="14"/>
      <c r="C114" s="135" t="s">
        <v>37</v>
      </c>
      <c r="F114" s="4"/>
      <c r="G114" s="5"/>
      <c r="H114" s="5"/>
    </row>
    <row r="115" spans="1:8" ht="15.5">
      <c r="A115" s="13">
        <v>46017</v>
      </c>
      <c r="B115" s="12">
        <v>1000</v>
      </c>
      <c r="C115" s="14" t="s">
        <v>815</v>
      </c>
      <c r="F115" s="4"/>
      <c r="G115" s="5"/>
      <c r="H115" s="5"/>
    </row>
    <row r="116" spans="1:8" ht="15.5">
      <c r="A116" s="13"/>
      <c r="B116" s="12"/>
      <c r="C116" s="14" t="s">
        <v>37</v>
      </c>
      <c r="F116" s="4"/>
      <c r="G116" s="5"/>
      <c r="H116" s="5"/>
    </row>
    <row r="117" spans="1:8" ht="15.5">
      <c r="A117" s="13"/>
      <c r="B117" s="12"/>
      <c r="C117" s="14" t="s">
        <v>37</v>
      </c>
      <c r="F117" s="4"/>
      <c r="G117" s="5"/>
      <c r="H117" s="5"/>
    </row>
    <row r="118" spans="1:8">
      <c r="A118" s="13"/>
      <c r="B118" s="12"/>
      <c r="C118" s="14" t="s">
        <v>825</v>
      </c>
    </row>
    <row r="119" spans="1:8">
      <c r="A119" s="13"/>
      <c r="B119" s="12"/>
      <c r="C119" s="14" t="s">
        <v>177</v>
      </c>
      <c r="G119" s="2">
        <v>250</v>
      </c>
      <c r="H119" s="11">
        <f>+F119*G119</f>
        <v>0</v>
      </c>
    </row>
    <row r="120" spans="1:8">
      <c r="A120" s="13"/>
      <c r="B120" s="12"/>
      <c r="C120" s="14" t="s">
        <v>37</v>
      </c>
      <c r="G120" s="2">
        <v>250</v>
      </c>
      <c r="H120" s="11">
        <f>+F120*G120</f>
        <v>0</v>
      </c>
    </row>
    <row r="121" spans="1:8">
      <c r="A121" s="13">
        <v>45996</v>
      </c>
      <c r="B121" s="12">
        <v>653</v>
      </c>
      <c r="C121" s="14" t="s">
        <v>787</v>
      </c>
    </row>
    <row r="122" spans="1:8">
      <c r="A122" s="13">
        <v>46001</v>
      </c>
      <c r="B122" s="12">
        <v>484</v>
      </c>
      <c r="C122" s="14" t="s">
        <v>906</v>
      </c>
    </row>
    <row r="123" spans="1:8">
      <c r="A123" s="13"/>
      <c r="B123" s="12"/>
      <c r="C123" s="14" t="s">
        <v>6</v>
      </c>
    </row>
    <row r="124" spans="1:8">
      <c r="A124" s="13"/>
      <c r="B124" s="12"/>
      <c r="C124" s="14" t="s">
        <v>177</v>
      </c>
    </row>
    <row r="125" spans="1:8">
      <c r="A125" s="13">
        <v>45997</v>
      </c>
      <c r="B125" s="12">
        <v>1659</v>
      </c>
      <c r="C125" s="14" t="s">
        <v>980</v>
      </c>
      <c r="H125">
        <v>15000</v>
      </c>
    </row>
    <row r="126" spans="1:8">
      <c r="A126" s="13"/>
      <c r="B126" s="12"/>
      <c r="C126" s="14"/>
    </row>
    <row r="127" spans="1:8">
      <c r="A127" s="13"/>
      <c r="B127" s="12"/>
      <c r="C127" s="14"/>
    </row>
    <row r="128" spans="1:8">
      <c r="A128" s="13"/>
      <c r="B128" s="12"/>
      <c r="C128" s="14"/>
    </row>
    <row r="129" spans="1:8">
      <c r="A129" s="13"/>
      <c r="B129" s="12"/>
      <c r="C129" s="14"/>
    </row>
    <row r="130" spans="1:8">
      <c r="A130" s="13"/>
      <c r="B130" s="12"/>
      <c r="C130" s="14"/>
    </row>
    <row r="131" spans="1:8">
      <c r="A131" s="13"/>
      <c r="B131" s="135"/>
      <c r="C131" s="14" t="s">
        <v>976</v>
      </c>
    </row>
    <row r="132" spans="1:8">
      <c r="A132" s="13"/>
      <c r="B132" s="12"/>
      <c r="C132" s="14" t="s">
        <v>37</v>
      </c>
    </row>
    <row r="133" spans="1:8">
      <c r="A133" s="13"/>
      <c r="B133" s="12"/>
      <c r="C133" s="14" t="s">
        <v>1033</v>
      </c>
    </row>
    <row r="134" spans="1:8">
      <c r="A134" s="13"/>
      <c r="B134" s="12"/>
      <c r="C134" s="14" t="s">
        <v>6</v>
      </c>
      <c r="F134">
        <v>325000</v>
      </c>
      <c r="G134" s="24">
        <v>3.4200000000000001E-2</v>
      </c>
      <c r="H134" s="11">
        <f>+F134*G134</f>
        <v>11115</v>
      </c>
    </row>
    <row r="135" spans="1:8">
      <c r="A135" s="13"/>
      <c r="B135" s="12"/>
      <c r="C135" s="14" t="s">
        <v>105</v>
      </c>
      <c r="F135">
        <v>1325000</v>
      </c>
      <c r="G135" s="25">
        <v>3.4200000000000001E-2</v>
      </c>
      <c r="H135" s="11">
        <f>+F135*G135</f>
        <v>45315</v>
      </c>
    </row>
    <row r="136" spans="1:8">
      <c r="A136" s="13">
        <v>45976</v>
      </c>
      <c r="B136" s="12">
        <v>7000</v>
      </c>
      <c r="C136" s="14" t="s">
        <v>789</v>
      </c>
    </row>
    <row r="137" spans="1:8">
      <c r="A137" s="13"/>
      <c r="B137" s="12"/>
      <c r="C137" s="14" t="s">
        <v>1031</v>
      </c>
    </row>
    <row r="138" spans="1:8">
      <c r="A138" s="13"/>
      <c r="B138" s="12"/>
      <c r="C138" s="14" t="s">
        <v>1030</v>
      </c>
      <c r="F138">
        <f>250*5300</f>
        <v>1325000</v>
      </c>
      <c r="H138">
        <f>SUM(H125:H137)</f>
        <v>71430</v>
      </c>
    </row>
    <row r="139" spans="1:8">
      <c r="A139" s="13">
        <v>45978</v>
      </c>
      <c r="B139" s="12">
        <v>4000</v>
      </c>
      <c r="C139" s="14" t="s">
        <v>1032</v>
      </c>
    </row>
    <row r="140" spans="1:8">
      <c r="A140" s="13"/>
      <c r="B140" s="12"/>
      <c r="C140" s="14"/>
    </row>
    <row r="141" spans="1:8">
      <c r="A141" s="13"/>
      <c r="B141" s="12"/>
      <c r="C141" s="14" t="s">
        <v>6</v>
      </c>
    </row>
    <row r="142" spans="1:8">
      <c r="A142" s="13">
        <v>46008</v>
      </c>
      <c r="B142" s="12">
        <v>2653</v>
      </c>
      <c r="C142" s="14" t="s">
        <v>955</v>
      </c>
    </row>
    <row r="143" spans="1:8">
      <c r="A143" s="13">
        <v>46006</v>
      </c>
      <c r="B143" s="12">
        <v>14000</v>
      </c>
      <c r="C143" s="14" t="s">
        <v>1052</v>
      </c>
    </row>
    <row r="144" spans="1:8">
      <c r="A144" s="13">
        <v>46021</v>
      </c>
      <c r="B144" s="12">
        <v>7000</v>
      </c>
      <c r="C144" s="14" t="s">
        <v>799</v>
      </c>
    </row>
    <row r="145" spans="1:8">
      <c r="A145" s="13"/>
      <c r="B145" s="12"/>
      <c r="C145" s="14" t="s">
        <v>855</v>
      </c>
    </row>
    <row r="146" spans="1:8">
      <c r="A146" s="13"/>
      <c r="B146" s="12"/>
      <c r="C146" s="14" t="s">
        <v>909</v>
      </c>
    </row>
    <row r="147" spans="1:8">
      <c r="A147" s="13"/>
      <c r="B147" s="12"/>
      <c r="C147" s="14"/>
    </row>
    <row r="148" spans="1:8">
      <c r="A148" s="13"/>
      <c r="B148" s="12"/>
      <c r="C148" s="14"/>
    </row>
    <row r="149" spans="1:8">
      <c r="A149" s="13"/>
      <c r="B149" s="12"/>
      <c r="C149" s="14"/>
    </row>
    <row r="150" spans="1:8">
      <c r="A150" s="13"/>
      <c r="B150" s="12"/>
      <c r="C150" s="14"/>
    </row>
    <row r="151" spans="1:8" ht="16">
      <c r="A151" s="13"/>
      <c r="B151" s="12">
        <f>SUM(B104:B150)</f>
        <v>91091</v>
      </c>
      <c r="C151" s="180">
        <f>+B151/28</f>
        <v>3253.25</v>
      </c>
    </row>
    <row r="153" spans="1:8">
      <c r="F153">
        <v>14</v>
      </c>
    </row>
    <row r="155" spans="1:8" ht="15.5">
      <c r="A155" s="209" t="s">
        <v>0</v>
      </c>
      <c r="B155" s="209"/>
      <c r="C155" s="209"/>
      <c r="D155" s="3"/>
      <c r="E155" s="4"/>
    </row>
    <row r="156" spans="1:8" ht="15.5">
      <c r="A156" s="6" t="s">
        <v>1</v>
      </c>
      <c r="B156" s="7" t="s">
        <v>2</v>
      </c>
      <c r="C156" s="6" t="s">
        <v>3</v>
      </c>
      <c r="D156" s="3"/>
      <c r="E156" s="4"/>
      <c r="G156" s="137" t="s">
        <v>845</v>
      </c>
      <c r="H156">
        <v>100000</v>
      </c>
    </row>
    <row r="157" spans="1:8" ht="15.5">
      <c r="A157" s="8">
        <v>45542</v>
      </c>
      <c r="B157" s="9">
        <v>-3000</v>
      </c>
      <c r="C157" s="3" t="s">
        <v>5</v>
      </c>
      <c r="D157" s="10">
        <f>+B157</f>
        <v>-3000</v>
      </c>
      <c r="E157" s="4"/>
      <c r="G157" s="137" t="s">
        <v>846</v>
      </c>
      <c r="H157">
        <v>120000</v>
      </c>
    </row>
    <row r="158" spans="1:8" ht="15.5">
      <c r="A158" s="8">
        <v>45541</v>
      </c>
      <c r="B158" s="2">
        <v>-1500</v>
      </c>
      <c r="C158" t="s">
        <v>5</v>
      </c>
      <c r="D158" s="11">
        <f>+D157+B158</f>
        <v>-4500</v>
      </c>
      <c r="E158" s="4"/>
      <c r="G158" s="137" t="s">
        <v>847</v>
      </c>
      <c r="H158">
        <v>50000</v>
      </c>
    </row>
    <row r="159" spans="1:8" ht="15.5">
      <c r="A159" s="8">
        <v>45541</v>
      </c>
      <c r="B159" s="9">
        <v>-5000</v>
      </c>
      <c r="C159" s="3" t="s">
        <v>8</v>
      </c>
      <c r="D159" s="11">
        <f>+D158+B159</f>
        <v>-9500</v>
      </c>
      <c r="E159" s="4"/>
    </row>
    <row r="160" spans="1:8" ht="15.5">
      <c r="A160" s="8">
        <v>45549</v>
      </c>
      <c r="B160" s="9">
        <f>-14000-3000-1200</f>
        <v>-18200</v>
      </c>
      <c r="C160" s="3" t="s">
        <v>10</v>
      </c>
      <c r="D160" s="11">
        <f>+D159+B160</f>
        <v>-27700</v>
      </c>
      <c r="E160" s="4"/>
    </row>
    <row r="161" spans="1:8" ht="15.5">
      <c r="A161" s="8">
        <v>45551</v>
      </c>
      <c r="B161" s="9">
        <v>-3600</v>
      </c>
      <c r="C161" s="3" t="s">
        <v>10</v>
      </c>
      <c r="D161" s="11"/>
      <c r="E161" s="4"/>
      <c r="H161">
        <f>SUM(H156:H160)</f>
        <v>270000</v>
      </c>
    </row>
    <row r="162" spans="1:8" ht="15.5">
      <c r="A162" s="8">
        <v>45549</v>
      </c>
      <c r="B162" s="9">
        <v>-11600</v>
      </c>
      <c r="C162" s="3" t="s">
        <v>12</v>
      </c>
      <c r="D162" s="11"/>
      <c r="E162" s="4"/>
    </row>
    <row r="163" spans="1:8" ht="15.5">
      <c r="A163" s="8">
        <v>45547</v>
      </c>
      <c r="B163" s="12">
        <v>-10600</v>
      </c>
      <c r="C163" s="3" t="s">
        <v>14</v>
      </c>
      <c r="D163" s="11"/>
      <c r="E163" s="4"/>
    </row>
    <row r="164" spans="1:8" ht="15.5">
      <c r="A164" s="8">
        <v>45550</v>
      </c>
      <c r="B164" s="9">
        <v>-14700</v>
      </c>
      <c r="C164" s="3" t="s">
        <v>16</v>
      </c>
      <c r="D164" s="11">
        <v>20000</v>
      </c>
      <c r="E164" s="4" t="s">
        <v>17</v>
      </c>
    </row>
    <row r="165" spans="1:8" ht="15.5">
      <c r="A165" s="8">
        <v>45550</v>
      </c>
      <c r="B165" s="9">
        <v>-14700</v>
      </c>
      <c r="C165" s="3" t="s">
        <v>16</v>
      </c>
      <c r="D165" s="11">
        <v>2000</v>
      </c>
      <c r="E165" s="4"/>
    </row>
    <row r="166" spans="1:8" ht="15.5">
      <c r="A166" s="13">
        <v>45563</v>
      </c>
      <c r="B166" s="12">
        <v>-840</v>
      </c>
      <c r="C166" s="3" t="s">
        <v>20</v>
      </c>
      <c r="D166" s="11"/>
      <c r="E166" s="4"/>
    </row>
    <row r="167" spans="1:8" ht="15.5">
      <c r="A167" s="13">
        <v>45563</v>
      </c>
      <c r="B167" s="12">
        <v>-3000</v>
      </c>
      <c r="C167" s="14" t="s">
        <v>22</v>
      </c>
      <c r="D167" s="11">
        <v>11000</v>
      </c>
      <c r="E167" s="4"/>
    </row>
    <row r="168" spans="1:8" ht="15.5">
      <c r="A168" s="13">
        <v>45556</v>
      </c>
      <c r="B168" s="12">
        <v>-10000</v>
      </c>
      <c r="C168" s="14" t="s">
        <v>24</v>
      </c>
      <c r="D168" s="11">
        <f>+D167*1.33</f>
        <v>14630</v>
      </c>
      <c r="E168" s="4"/>
    </row>
    <row r="169" spans="1:8" ht="15.5">
      <c r="A169" s="13">
        <v>45565</v>
      </c>
      <c r="B169" s="12">
        <v>12500</v>
      </c>
      <c r="C169" s="14" t="s">
        <v>16</v>
      </c>
      <c r="D169" s="11"/>
      <c r="E169" s="4"/>
    </row>
    <row r="170" spans="1:8" ht="15.5">
      <c r="A170" s="8">
        <v>45565</v>
      </c>
      <c r="B170" s="12">
        <v>12500</v>
      </c>
      <c r="C170" s="14" t="s">
        <v>16</v>
      </c>
      <c r="D170" s="11"/>
      <c r="E170" s="4"/>
    </row>
    <row r="171" spans="1:8" ht="15.5">
      <c r="A171" s="8">
        <v>45564</v>
      </c>
      <c r="B171" s="12">
        <v>-60000</v>
      </c>
      <c r="C171" s="14" t="s">
        <v>26</v>
      </c>
      <c r="D171" s="11"/>
      <c r="E171" s="4"/>
    </row>
    <row r="172" spans="1:8" ht="15.5">
      <c r="A172" s="8">
        <v>45546</v>
      </c>
      <c r="B172" s="9">
        <v>-20000</v>
      </c>
      <c r="C172" s="3" t="s">
        <v>28</v>
      </c>
      <c r="D172" s="11"/>
      <c r="E172" s="4"/>
    </row>
    <row r="173" spans="1:8" ht="15.5">
      <c r="A173" s="8">
        <v>45232</v>
      </c>
      <c r="B173" s="12"/>
      <c r="C173" s="14" t="s">
        <v>30</v>
      </c>
      <c r="D173" s="10"/>
      <c r="E173" s="4"/>
    </row>
    <row r="174" spans="1:8" ht="15.5">
      <c r="A174" s="8">
        <v>45232</v>
      </c>
      <c r="B174" s="12"/>
      <c r="C174" s="14" t="s">
        <v>19</v>
      </c>
      <c r="D174" s="10"/>
      <c r="E174" s="4"/>
    </row>
    <row r="175" spans="1:8" ht="15.5">
      <c r="A175" s="8">
        <v>45233</v>
      </c>
      <c r="B175" s="9">
        <v>-500</v>
      </c>
      <c r="C175" s="3" t="s">
        <v>31</v>
      </c>
      <c r="D175" s="10"/>
      <c r="E175" s="4"/>
    </row>
    <row r="176" spans="1:8" ht="15.5">
      <c r="A176" s="8">
        <v>45234</v>
      </c>
      <c r="B176" s="2">
        <v>-2300</v>
      </c>
      <c r="C176" s="16" t="s">
        <v>6</v>
      </c>
      <c r="D176" s="10"/>
      <c r="E176" s="4"/>
    </row>
    <row r="177" spans="1:7" ht="15.5">
      <c r="A177" s="8">
        <v>45234</v>
      </c>
      <c r="B177" s="12">
        <v>-1300</v>
      </c>
      <c r="C177" s="14" t="s">
        <v>32</v>
      </c>
      <c r="D177" s="10"/>
      <c r="E177" s="4"/>
    </row>
    <row r="178" spans="1:7" ht="15.5">
      <c r="A178" s="8">
        <v>45234</v>
      </c>
      <c r="B178" s="12">
        <v>-1200</v>
      </c>
      <c r="C178" s="14" t="s">
        <v>33</v>
      </c>
      <c r="D178" s="10"/>
      <c r="E178" s="4"/>
    </row>
    <row r="179" spans="1:7" ht="15.5">
      <c r="A179" s="8">
        <v>45235</v>
      </c>
      <c r="B179" s="9">
        <f>-300*56</f>
        <v>-16800</v>
      </c>
      <c r="C179" s="3" t="s">
        <v>34</v>
      </c>
      <c r="D179" s="10"/>
      <c r="E179" s="4"/>
    </row>
    <row r="180" spans="1:7" ht="15.5">
      <c r="A180" s="8">
        <v>45238</v>
      </c>
      <c r="B180" s="9">
        <v>-600</v>
      </c>
      <c r="C180" s="3" t="s">
        <v>35</v>
      </c>
      <c r="D180" s="10"/>
      <c r="E180" s="4"/>
    </row>
    <row r="181" spans="1:7" ht="15.5">
      <c r="A181" s="8">
        <v>45238</v>
      </c>
      <c r="B181" s="9"/>
      <c r="C181" s="3" t="s">
        <v>36</v>
      </c>
      <c r="D181" s="10"/>
      <c r="E181" s="4"/>
    </row>
    <row r="182" spans="1:7" ht="15.5">
      <c r="A182" s="8">
        <v>45238</v>
      </c>
      <c r="B182" s="9"/>
      <c r="C182" s="3" t="s">
        <v>37</v>
      </c>
      <c r="D182" s="10"/>
      <c r="E182" s="4"/>
    </row>
    <row r="183" spans="1:7" ht="15.5">
      <c r="A183" s="8">
        <v>45234</v>
      </c>
      <c r="B183" s="9">
        <v>-1424</v>
      </c>
      <c r="C183" s="3" t="s">
        <v>38</v>
      </c>
      <c r="D183" s="10"/>
      <c r="E183" s="4"/>
    </row>
    <row r="184" spans="1:7" ht="15.5">
      <c r="A184" s="8">
        <v>45238</v>
      </c>
      <c r="B184" s="9"/>
      <c r="C184" s="3"/>
      <c r="D184" s="10"/>
      <c r="E184" s="4"/>
    </row>
    <row r="185" spans="1:7" ht="15.5">
      <c r="A185" s="8">
        <v>45240</v>
      </c>
      <c r="B185" s="2">
        <v>-1000</v>
      </c>
      <c r="C185" s="18" t="s">
        <v>31</v>
      </c>
      <c r="D185" s="10"/>
      <c r="E185" s="4"/>
    </row>
    <row r="186" spans="1:7" ht="15.5">
      <c r="A186" s="8">
        <v>45239</v>
      </c>
      <c r="B186" s="9">
        <v>-500</v>
      </c>
      <c r="C186" s="3" t="s">
        <v>37</v>
      </c>
      <c r="D186" s="10"/>
      <c r="E186" s="4"/>
    </row>
    <row r="187" spans="1:7" ht="15.5">
      <c r="A187" s="8">
        <v>45237</v>
      </c>
      <c r="B187" s="9">
        <v>-2400</v>
      </c>
      <c r="C187" s="3" t="s">
        <v>6</v>
      </c>
      <c r="D187" s="10"/>
      <c r="E187" s="4"/>
    </row>
    <row r="188" spans="1:7" ht="15.5">
      <c r="A188" s="8">
        <v>45237</v>
      </c>
      <c r="B188" s="9">
        <v>-1097</v>
      </c>
      <c r="C188" s="3" t="s">
        <v>33</v>
      </c>
      <c r="D188" s="10"/>
      <c r="E188" s="4"/>
    </row>
    <row r="189" spans="1:7" ht="15.5">
      <c r="A189" s="8">
        <v>45237</v>
      </c>
      <c r="B189" s="9"/>
      <c r="C189" s="3"/>
      <c r="D189" s="10"/>
      <c r="E189" s="4"/>
      <c r="F189" t="s">
        <v>834</v>
      </c>
      <c r="G189" s="137" t="s">
        <v>835</v>
      </c>
    </row>
    <row r="190" spans="1:7" ht="15.5">
      <c r="A190" s="8">
        <v>45237</v>
      </c>
      <c r="B190" s="9">
        <v>-731</v>
      </c>
      <c r="C190" s="3" t="s">
        <v>42</v>
      </c>
      <c r="D190" s="10"/>
      <c r="E190" s="4"/>
      <c r="F190">
        <v>500</v>
      </c>
      <c r="G190" s="2">
        <v>15</v>
      </c>
    </row>
    <row r="191" spans="1:7" ht="15.5">
      <c r="A191" s="8">
        <v>45239</v>
      </c>
      <c r="B191" s="9">
        <v>-3050</v>
      </c>
      <c r="C191" s="3" t="s">
        <v>37</v>
      </c>
      <c r="D191" s="10"/>
      <c r="E191" s="4"/>
      <c r="F191" t="s">
        <v>836</v>
      </c>
      <c r="G191" s="137" t="s">
        <v>840</v>
      </c>
    </row>
    <row r="192" spans="1:7" ht="15.5">
      <c r="A192" s="8">
        <v>45239</v>
      </c>
      <c r="B192" s="9">
        <v>-1173</v>
      </c>
      <c r="C192" s="3" t="s">
        <v>37</v>
      </c>
      <c r="D192" s="10"/>
      <c r="E192" s="4"/>
      <c r="F192" s="82">
        <f>+F190/G190</f>
        <v>33.333333333333336</v>
      </c>
      <c r="G192" s="2">
        <v>2500</v>
      </c>
    </row>
    <row r="193" spans="1:7" ht="15.5">
      <c r="A193" s="20">
        <v>45258</v>
      </c>
      <c r="B193" s="2">
        <v>-670</v>
      </c>
      <c r="C193" s="18" t="s">
        <v>19</v>
      </c>
      <c r="D193" s="10"/>
      <c r="E193" s="4"/>
      <c r="F193" t="s">
        <v>841</v>
      </c>
    </row>
    <row r="194" spans="1:7" ht="15.5">
      <c r="A194" s="20">
        <v>45258</v>
      </c>
      <c r="B194" s="2">
        <v>-1412</v>
      </c>
      <c r="C194" s="18" t="s">
        <v>38</v>
      </c>
      <c r="D194" s="10"/>
      <c r="E194" s="4"/>
      <c r="F194" s="82">
        <f>+F192*G192</f>
        <v>83333.333333333343</v>
      </c>
    </row>
    <row r="195" spans="1:7" ht="15.5">
      <c r="A195" s="8">
        <v>45257</v>
      </c>
      <c r="B195" s="9">
        <v>-3000</v>
      </c>
      <c r="C195" s="3" t="s">
        <v>6</v>
      </c>
      <c r="D195" s="10"/>
      <c r="E195" s="4"/>
      <c r="F195" t="s">
        <v>837</v>
      </c>
      <c r="G195" s="137" t="s">
        <v>838</v>
      </c>
    </row>
    <row r="196" spans="1:7" ht="15.5">
      <c r="A196" s="8">
        <v>45257</v>
      </c>
      <c r="B196" s="9">
        <v>-265</v>
      </c>
      <c r="C196" s="3" t="s">
        <v>37</v>
      </c>
      <c r="D196" s="10"/>
      <c r="E196" s="4"/>
      <c r="F196">
        <v>300</v>
      </c>
      <c r="G196" s="2">
        <f>+F190*F196</f>
        <v>150000</v>
      </c>
    </row>
    <row r="197" spans="1:7" ht="15.5">
      <c r="A197" s="8">
        <v>45257</v>
      </c>
      <c r="B197" s="9">
        <v>-835.44</v>
      </c>
      <c r="C197" s="3"/>
      <c r="D197" s="10"/>
      <c r="E197" s="4"/>
      <c r="F197" t="s">
        <v>839</v>
      </c>
    </row>
    <row r="198" spans="1:7" ht="15.5">
      <c r="A198" s="8">
        <v>45257</v>
      </c>
      <c r="B198" s="9">
        <v>-8849</v>
      </c>
      <c r="C198" s="3" t="s">
        <v>37</v>
      </c>
      <c r="D198" s="10"/>
      <c r="E198" s="4"/>
    </row>
    <row r="199" spans="1:7" ht="15.5">
      <c r="A199" s="8">
        <v>45257</v>
      </c>
      <c r="B199" s="9"/>
      <c r="C199" s="3" t="s">
        <v>51</v>
      </c>
      <c r="D199" s="10"/>
      <c r="E199" s="4"/>
    </row>
    <row r="200" spans="1:7" ht="15.5">
      <c r="A200" s="8">
        <v>45254</v>
      </c>
      <c r="B200" s="9">
        <v>-730</v>
      </c>
      <c r="C200" s="3" t="s">
        <v>53</v>
      </c>
      <c r="D200" s="10"/>
      <c r="E200" s="4"/>
    </row>
    <row r="201" spans="1:7" ht="15.5">
      <c r="A201" s="8">
        <v>45244</v>
      </c>
      <c r="B201" s="9">
        <v>-350</v>
      </c>
      <c r="C201" s="3" t="s">
        <v>53</v>
      </c>
      <c r="D201" s="10"/>
      <c r="E201" s="4"/>
    </row>
    <row r="202" spans="1:7" ht="15.5">
      <c r="A202" s="8">
        <v>45243</v>
      </c>
      <c r="B202" s="9">
        <v>-2901</v>
      </c>
      <c r="C202" s="3" t="s">
        <v>6</v>
      </c>
      <c r="D202" s="10"/>
      <c r="E202" s="4"/>
    </row>
    <row r="203" spans="1:7" ht="15.5">
      <c r="A203" s="8">
        <v>45240</v>
      </c>
      <c r="B203" s="9">
        <v>-1654</v>
      </c>
      <c r="C203" s="3" t="s">
        <v>38</v>
      </c>
      <c r="D203" s="10"/>
      <c r="E203" s="4"/>
    </row>
    <row r="204" spans="1:7" ht="15.5">
      <c r="A204" s="8">
        <v>45239</v>
      </c>
      <c r="B204" s="9">
        <v>-2191</v>
      </c>
      <c r="C204" s="3" t="s">
        <v>37</v>
      </c>
      <c r="D204" s="10"/>
      <c r="E204" s="4"/>
    </row>
    <row r="205" spans="1:7" ht="15.5">
      <c r="A205" s="8">
        <v>45257</v>
      </c>
      <c r="B205" s="9">
        <v>-3000</v>
      </c>
      <c r="C205" s="3" t="s">
        <v>31</v>
      </c>
      <c r="D205" s="10"/>
      <c r="E205" s="4"/>
    </row>
    <row r="206" spans="1:7" ht="15.5">
      <c r="A206" s="8">
        <v>45257</v>
      </c>
      <c r="B206" s="9"/>
      <c r="C206" s="3" t="s">
        <v>54</v>
      </c>
      <c r="D206" s="10"/>
      <c r="E206" s="4"/>
    </row>
    <row r="207" spans="1:7" ht="15.5">
      <c r="A207" s="8">
        <v>45257</v>
      </c>
      <c r="B207" s="9"/>
      <c r="C207" s="3" t="s">
        <v>55</v>
      </c>
      <c r="D207" s="10"/>
      <c r="E207" s="4"/>
    </row>
    <row r="208" spans="1:7" ht="15.5">
      <c r="A208" s="8">
        <v>45257</v>
      </c>
      <c r="B208" s="9">
        <v>-12000</v>
      </c>
      <c r="C208" s="3" t="s">
        <v>56</v>
      </c>
      <c r="D208" s="10"/>
      <c r="E208" s="4"/>
    </row>
    <row r="209" spans="1:5" ht="15.5">
      <c r="A209" s="8">
        <v>45260</v>
      </c>
      <c r="B209" s="9">
        <v>-2000</v>
      </c>
      <c r="C209" s="21" t="s">
        <v>31</v>
      </c>
      <c r="D209" s="10"/>
      <c r="E209" s="4"/>
    </row>
    <row r="210" spans="1:5" ht="15.5">
      <c r="A210" s="8">
        <v>45260</v>
      </c>
      <c r="B210" s="9">
        <v>-1000</v>
      </c>
      <c r="C210" s="3" t="s">
        <v>57</v>
      </c>
      <c r="D210" s="10"/>
      <c r="E210" s="4"/>
    </row>
    <row r="211" spans="1:5" ht="15.5">
      <c r="A211" s="13">
        <v>45582</v>
      </c>
      <c r="B211" s="12">
        <f>-200*60</f>
        <v>-12000</v>
      </c>
      <c r="C211" s="14" t="s">
        <v>58</v>
      </c>
      <c r="D211" s="10"/>
      <c r="E211" s="4"/>
    </row>
    <row r="212" spans="1:5" ht="15.5">
      <c r="A212" s="8">
        <v>45593</v>
      </c>
      <c r="B212" s="12">
        <v>-42500</v>
      </c>
      <c r="C212" s="3" t="s">
        <v>59</v>
      </c>
      <c r="D212" s="10"/>
      <c r="E212" s="4"/>
    </row>
    <row r="213" spans="1:5" ht="15.5">
      <c r="A213" s="13">
        <v>45595</v>
      </c>
      <c r="B213" s="12">
        <v>-12500</v>
      </c>
      <c r="C213" s="14" t="s">
        <v>60</v>
      </c>
      <c r="D213" s="10"/>
      <c r="E213" s="4"/>
    </row>
    <row r="214" spans="1:5" ht="15.5">
      <c r="A214" s="13">
        <v>45595</v>
      </c>
      <c r="B214" s="12">
        <v>-7000</v>
      </c>
      <c r="C214" s="14" t="s">
        <v>61</v>
      </c>
      <c r="D214" s="10"/>
      <c r="E214" s="4"/>
    </row>
    <row r="215" spans="1:5" ht="15.5">
      <c r="A215" s="13">
        <v>45595</v>
      </c>
      <c r="B215" s="22">
        <v>-11500</v>
      </c>
      <c r="C215" s="14" t="s">
        <v>62</v>
      </c>
      <c r="D215" s="10"/>
      <c r="E215" s="4"/>
    </row>
    <row r="216" spans="1:5" ht="15.5">
      <c r="A216" s="13">
        <v>45600</v>
      </c>
      <c r="B216" s="12">
        <v>-33750</v>
      </c>
      <c r="C216" s="14" t="s">
        <v>63</v>
      </c>
      <c r="D216" s="10"/>
      <c r="E216" s="4"/>
    </row>
    <row r="217" spans="1:5" ht="15.5">
      <c r="A217" s="13">
        <v>45601</v>
      </c>
      <c r="B217" s="22">
        <v>-9900</v>
      </c>
      <c r="C217" s="16" t="s">
        <v>64</v>
      </c>
      <c r="D217" s="10"/>
      <c r="E217" s="4"/>
    </row>
    <row r="218" spans="1:5" ht="15.5">
      <c r="A218" s="8">
        <v>45617</v>
      </c>
      <c r="B218" s="22">
        <v>-55000</v>
      </c>
      <c r="C218" s="16" t="s">
        <v>65</v>
      </c>
      <c r="D218" s="10"/>
      <c r="E218" s="4"/>
    </row>
    <row r="219" spans="1:5" ht="15.5">
      <c r="A219" s="8">
        <v>45614</v>
      </c>
      <c r="B219" s="22">
        <v>-12000</v>
      </c>
      <c r="C219" s="4" t="s">
        <v>66</v>
      </c>
      <c r="D219" s="10"/>
      <c r="E219" s="4"/>
    </row>
    <row r="220" spans="1:5" ht="15.5">
      <c r="A220" s="8">
        <v>45611</v>
      </c>
      <c r="B220" s="22">
        <v>-12500</v>
      </c>
      <c r="C220" s="16" t="s">
        <v>67</v>
      </c>
      <c r="D220" s="22"/>
      <c r="E220" s="4"/>
    </row>
    <row r="221" spans="1:5" ht="15.5">
      <c r="A221" s="20">
        <v>45626</v>
      </c>
      <c r="B221" s="22">
        <v>-12500</v>
      </c>
      <c r="C221" s="16" t="s">
        <v>67</v>
      </c>
      <c r="D221" s="22"/>
      <c r="E221" s="4"/>
    </row>
    <row r="222" spans="1:5" ht="15.5">
      <c r="A222" s="8">
        <v>45638</v>
      </c>
      <c r="B222" s="9">
        <v>-125000</v>
      </c>
      <c r="C222" s="3" t="s">
        <v>68</v>
      </c>
      <c r="D222" s="22"/>
      <c r="E222" s="4"/>
    </row>
    <row r="223" spans="1:5" ht="15.5">
      <c r="A223" s="8">
        <v>45636</v>
      </c>
      <c r="B223" s="9">
        <v>-4200</v>
      </c>
      <c r="C223" s="3" t="s">
        <v>69</v>
      </c>
      <c r="D223" s="22"/>
      <c r="E223" s="4"/>
    </row>
    <row r="224" spans="1:5" ht="15.5">
      <c r="A224" s="8">
        <v>45635</v>
      </c>
      <c r="B224" s="9">
        <v>-5000</v>
      </c>
      <c r="C224" s="3" t="s">
        <v>70</v>
      </c>
      <c r="D224" s="22"/>
      <c r="E224" s="4"/>
    </row>
    <row r="225" spans="1:5" ht="15.5">
      <c r="A225" s="8">
        <v>45672</v>
      </c>
      <c r="B225" s="9">
        <v>-5500</v>
      </c>
      <c r="C225" s="3" t="s">
        <v>534</v>
      </c>
      <c r="D225" s="22"/>
      <c r="E225" s="4"/>
    </row>
    <row r="226" spans="1:5" ht="15.5">
      <c r="A226" s="8">
        <v>45669</v>
      </c>
      <c r="B226" s="9">
        <v>-2000</v>
      </c>
      <c r="C226" s="3" t="s">
        <v>535</v>
      </c>
      <c r="D226" s="22"/>
      <c r="E226" s="4"/>
    </row>
    <row r="227" spans="1:5" ht="15.5">
      <c r="A227" s="8">
        <v>45669</v>
      </c>
      <c r="B227" s="9">
        <v>-15000</v>
      </c>
      <c r="C227" s="3" t="s">
        <v>536</v>
      </c>
      <c r="D227" s="22"/>
      <c r="E227" s="4"/>
    </row>
    <row r="228" spans="1:5" ht="15.5">
      <c r="A228" s="8">
        <v>45672</v>
      </c>
      <c r="B228" s="9">
        <v>-1000</v>
      </c>
      <c r="C228" s="3" t="s">
        <v>537</v>
      </c>
      <c r="D228" s="22"/>
      <c r="E228" s="4"/>
    </row>
    <row r="229" spans="1:5" ht="15.5">
      <c r="A229" s="8">
        <v>45669</v>
      </c>
      <c r="B229" s="9">
        <v>-1500</v>
      </c>
      <c r="C229" s="3" t="s">
        <v>255</v>
      </c>
      <c r="D229" s="22"/>
      <c r="E229" s="4"/>
    </row>
    <row r="230" spans="1:5" ht="15.5">
      <c r="A230" s="8">
        <v>45675</v>
      </c>
      <c r="B230" s="9">
        <v>-3600</v>
      </c>
      <c r="C230" s="3" t="s">
        <v>105</v>
      </c>
      <c r="D230" s="22"/>
      <c r="E230" s="4"/>
    </row>
    <row r="231" spans="1:5" ht="15.5">
      <c r="A231" s="8">
        <v>45675</v>
      </c>
      <c r="B231" s="9">
        <v>-5000</v>
      </c>
      <c r="C231" s="3" t="s">
        <v>72</v>
      </c>
      <c r="D231" s="22"/>
      <c r="E231" s="4"/>
    </row>
    <row r="232" spans="1:5" ht="15.5">
      <c r="A232" s="8">
        <v>45663</v>
      </c>
      <c r="B232" s="9">
        <v>-7000</v>
      </c>
      <c r="C232" s="3" t="s">
        <v>538</v>
      </c>
      <c r="D232" s="22"/>
      <c r="E232" s="4"/>
    </row>
    <row r="233" spans="1:5" ht="15.5">
      <c r="A233" s="8">
        <v>45661</v>
      </c>
      <c r="B233" s="9">
        <v>-12000</v>
      </c>
      <c r="C233" s="3" t="s">
        <v>539</v>
      </c>
      <c r="D233" s="22"/>
      <c r="E233" s="4"/>
    </row>
    <row r="234" spans="1:5" ht="15.5">
      <c r="A234" s="8">
        <v>45674</v>
      </c>
      <c r="B234" s="9">
        <v>-10000</v>
      </c>
      <c r="C234" s="3" t="s">
        <v>37</v>
      </c>
      <c r="D234" s="22"/>
      <c r="E234" s="4"/>
    </row>
    <row r="235" spans="1:5" ht="15.5">
      <c r="A235" s="8">
        <v>45680</v>
      </c>
      <c r="B235" s="9">
        <v>-15000</v>
      </c>
      <c r="C235" s="3" t="s">
        <v>540</v>
      </c>
      <c r="D235" s="22"/>
      <c r="E235" s="4"/>
    </row>
    <row r="236" spans="1:5" ht="15.5">
      <c r="A236" s="13">
        <v>45680</v>
      </c>
      <c r="B236" s="12">
        <v>-20000</v>
      </c>
      <c r="C236" s="14" t="s">
        <v>541</v>
      </c>
      <c r="D236" s="22"/>
      <c r="E236" s="4"/>
    </row>
    <row r="237" spans="1:5" ht="15.5">
      <c r="A237" s="13">
        <v>45684</v>
      </c>
      <c r="B237" s="12">
        <v>-3200</v>
      </c>
      <c r="C237" s="14" t="s">
        <v>544</v>
      </c>
      <c r="D237" s="22"/>
      <c r="E237" s="4"/>
    </row>
    <row r="238" spans="1:5" ht="15.5">
      <c r="A238" s="8"/>
      <c r="B238" s="9"/>
      <c r="C238" s="3"/>
      <c r="D238" s="22"/>
      <c r="E238" s="4"/>
    </row>
    <row r="239" spans="1:5" ht="15.5">
      <c r="A239" s="13"/>
      <c r="C239" s="16"/>
      <c r="D239" s="22"/>
      <c r="E239" s="4"/>
    </row>
    <row r="240" spans="1:5" ht="15.5">
      <c r="A240" s="13">
        <v>45778</v>
      </c>
      <c r="B240" s="12">
        <v>2000</v>
      </c>
      <c r="C240" s="3" t="s">
        <v>25</v>
      </c>
      <c r="D240" s="22"/>
      <c r="E240" s="4"/>
    </row>
    <row r="241" spans="1:5" ht="15.5">
      <c r="A241" s="13">
        <v>45778</v>
      </c>
      <c r="B241" s="12">
        <v>300</v>
      </c>
      <c r="C241" s="3" t="s">
        <v>37</v>
      </c>
      <c r="D241" s="22"/>
      <c r="E241" s="4"/>
    </row>
    <row r="242" spans="1:5" ht="15.5">
      <c r="A242" s="13">
        <v>45779</v>
      </c>
      <c r="B242" s="12">
        <v>3000</v>
      </c>
      <c r="C242" s="3" t="s">
        <v>780</v>
      </c>
      <c r="D242" s="22"/>
      <c r="E242" s="4"/>
    </row>
    <row r="243" spans="1:5" ht="15.5">
      <c r="A243" s="8">
        <v>45779</v>
      </c>
      <c r="B243" s="9">
        <v>291</v>
      </c>
      <c r="C243" s="3" t="s">
        <v>37</v>
      </c>
      <c r="D243" s="22"/>
      <c r="E243" s="4"/>
    </row>
    <row r="244" spans="1:5" ht="15.5">
      <c r="A244" s="8">
        <v>45779</v>
      </c>
      <c r="B244" s="9">
        <v>607</v>
      </c>
      <c r="C244" s="3" t="s">
        <v>787</v>
      </c>
      <c r="D244" s="22"/>
      <c r="E244" s="4"/>
    </row>
    <row r="245" spans="1:5" ht="15.5">
      <c r="A245" s="13">
        <v>45782</v>
      </c>
      <c r="B245" s="12">
        <v>5500</v>
      </c>
      <c r="C245" s="132" t="s">
        <v>788</v>
      </c>
      <c r="D245" s="22"/>
      <c r="E245" s="4"/>
    </row>
    <row r="246" spans="1:5" ht="15.5">
      <c r="A246" s="8">
        <v>45782</v>
      </c>
      <c r="B246" s="9">
        <v>700</v>
      </c>
      <c r="C246" s="3" t="s">
        <v>788</v>
      </c>
      <c r="D246" s="22"/>
      <c r="E246" s="4"/>
    </row>
    <row r="247" spans="1:5" ht="15.5">
      <c r="A247" s="8">
        <v>45783</v>
      </c>
      <c r="B247" s="9">
        <v>532</v>
      </c>
      <c r="C247" s="3" t="s">
        <v>223</v>
      </c>
      <c r="D247" s="22"/>
      <c r="E247" s="4"/>
    </row>
    <row r="248" spans="1:5" ht="15.5">
      <c r="A248" s="8">
        <v>45783</v>
      </c>
      <c r="B248" s="12">
        <v>2806</v>
      </c>
      <c r="C248" s="3" t="s">
        <v>6</v>
      </c>
      <c r="D248" s="22"/>
      <c r="E248" s="4"/>
    </row>
    <row r="249" spans="1:5" ht="15.5">
      <c r="A249" s="8">
        <v>45783</v>
      </c>
      <c r="B249" s="9">
        <v>2000</v>
      </c>
      <c r="C249" s="3" t="s">
        <v>6</v>
      </c>
      <c r="D249" s="22"/>
      <c r="E249" s="4"/>
    </row>
    <row r="250" spans="1:5" ht="15.5">
      <c r="A250" s="8">
        <v>45783</v>
      </c>
      <c r="B250" s="5">
        <v>150</v>
      </c>
      <c r="C250" s="133" t="s">
        <v>9</v>
      </c>
      <c r="D250" s="22"/>
      <c r="E250" s="4"/>
    </row>
    <row r="251" spans="1:5" ht="15.5">
      <c r="A251" s="8">
        <v>45783</v>
      </c>
      <c r="B251" s="9">
        <v>1742</v>
      </c>
      <c r="C251" s="3" t="s">
        <v>38</v>
      </c>
      <c r="D251" s="22"/>
      <c r="E251" s="4"/>
    </row>
    <row r="252" spans="1:5" ht="15.5">
      <c r="A252" s="8">
        <v>45783</v>
      </c>
      <c r="B252" s="9">
        <v>4000</v>
      </c>
      <c r="C252" s="3" t="s">
        <v>105</v>
      </c>
      <c r="D252" s="22"/>
      <c r="E252" s="4"/>
    </row>
    <row r="253" spans="1:5" ht="15.5">
      <c r="A253" s="8">
        <v>45784</v>
      </c>
      <c r="B253" s="12">
        <v>3000</v>
      </c>
      <c r="C253" s="3" t="s">
        <v>105</v>
      </c>
      <c r="D253" s="22"/>
      <c r="E253" s="4"/>
    </row>
    <row r="254" spans="1:5" ht="15.5">
      <c r="A254" s="8">
        <v>45785</v>
      </c>
      <c r="B254" s="9">
        <v>399</v>
      </c>
      <c r="C254" s="3" t="s">
        <v>37</v>
      </c>
      <c r="D254" s="22"/>
      <c r="E254" s="4"/>
    </row>
    <row r="255" spans="1:5" ht="15.5">
      <c r="A255" s="8">
        <v>45785</v>
      </c>
      <c r="B255" s="9">
        <v>500</v>
      </c>
      <c r="C255" s="3" t="s">
        <v>790</v>
      </c>
      <c r="D255" s="22"/>
      <c r="E255" s="4"/>
    </row>
    <row r="256" spans="1:5" ht="15.5">
      <c r="A256" s="8">
        <v>45786</v>
      </c>
      <c r="B256" s="12">
        <v>4000</v>
      </c>
      <c r="C256" s="3" t="s">
        <v>785</v>
      </c>
      <c r="D256" s="22"/>
      <c r="E256" s="4"/>
    </row>
    <row r="257" spans="1:5" ht="15.5">
      <c r="A257" s="8">
        <v>45786</v>
      </c>
      <c r="B257" s="9">
        <v>600</v>
      </c>
      <c r="C257" s="3" t="s">
        <v>786</v>
      </c>
      <c r="D257" s="22"/>
      <c r="E257" s="4"/>
    </row>
    <row r="258" spans="1:5" ht="15.5">
      <c r="A258" s="8">
        <v>45786</v>
      </c>
      <c r="B258" s="9">
        <v>410</v>
      </c>
      <c r="C258" s="3" t="s">
        <v>223</v>
      </c>
      <c r="D258" s="22"/>
      <c r="E258" s="4"/>
    </row>
    <row r="259" spans="1:5" ht="15.5">
      <c r="A259" s="131">
        <v>45786</v>
      </c>
      <c r="B259" s="5">
        <v>2625</v>
      </c>
      <c r="C259" s="18" t="s">
        <v>6</v>
      </c>
      <c r="D259" s="22"/>
      <c r="E259" s="4"/>
    </row>
    <row r="260" spans="1:5" ht="15.5">
      <c r="A260" s="8">
        <v>45786</v>
      </c>
      <c r="B260" s="9">
        <v>1000</v>
      </c>
      <c r="C260" s="3" t="s">
        <v>53</v>
      </c>
      <c r="D260" s="22"/>
      <c r="E260" s="4"/>
    </row>
    <row r="261" spans="1:5" ht="15.5">
      <c r="A261" s="8">
        <v>45787</v>
      </c>
      <c r="B261" s="9">
        <v>3000</v>
      </c>
      <c r="C261" s="3" t="s">
        <v>785</v>
      </c>
      <c r="D261" s="22"/>
      <c r="E261" s="4"/>
    </row>
    <row r="262" spans="1:5" ht="15.5">
      <c r="A262" s="8">
        <v>45787</v>
      </c>
      <c r="B262" s="5">
        <v>1000</v>
      </c>
      <c r="C262" s="3" t="s">
        <v>107</v>
      </c>
      <c r="D262" s="22"/>
      <c r="E262" s="4"/>
    </row>
    <row r="263" spans="1:5" ht="15.5">
      <c r="A263" s="8">
        <v>45787</v>
      </c>
      <c r="B263" s="9">
        <v>500</v>
      </c>
      <c r="C263" s="3" t="s">
        <v>37</v>
      </c>
      <c r="D263" s="22"/>
      <c r="E263" s="4"/>
    </row>
    <row r="264" spans="1:5" ht="15.5">
      <c r="A264" s="8">
        <v>45789</v>
      </c>
      <c r="B264" s="12">
        <v>2282</v>
      </c>
      <c r="C264" s="3" t="s">
        <v>37</v>
      </c>
      <c r="D264" s="22"/>
      <c r="E264" s="17"/>
    </row>
    <row r="265" spans="1:5" ht="15.5">
      <c r="A265" s="8">
        <v>45790</v>
      </c>
      <c r="B265" s="9">
        <v>1000</v>
      </c>
      <c r="C265" s="3" t="s">
        <v>788</v>
      </c>
      <c r="D265" s="22"/>
    </row>
    <row r="266" spans="1:5" ht="15.5">
      <c r="A266" s="8">
        <v>45790</v>
      </c>
      <c r="B266" s="9">
        <v>1000</v>
      </c>
      <c r="C266" s="3" t="s">
        <v>107</v>
      </c>
      <c r="D266" s="22"/>
    </row>
    <row r="267" spans="1:5" ht="15.5">
      <c r="A267" s="13">
        <v>45790</v>
      </c>
      <c r="B267" s="12">
        <v>7000</v>
      </c>
      <c r="C267" s="3" t="s">
        <v>789</v>
      </c>
      <c r="D267" s="22"/>
    </row>
    <row r="268" spans="1:5" ht="15.5">
      <c r="A268" s="8">
        <v>45790</v>
      </c>
      <c r="B268" s="9">
        <v>750</v>
      </c>
      <c r="C268" s="3" t="s">
        <v>37</v>
      </c>
      <c r="D268" s="22"/>
    </row>
    <row r="269" spans="1:5" ht="15.5">
      <c r="A269" s="8">
        <v>45794</v>
      </c>
      <c r="B269" s="5">
        <v>700</v>
      </c>
      <c r="C269" s="3" t="s">
        <v>346</v>
      </c>
      <c r="D269" s="22"/>
    </row>
    <row r="270" spans="1:5" ht="15.5">
      <c r="A270" s="8">
        <v>45791</v>
      </c>
      <c r="B270" s="9">
        <v>3000</v>
      </c>
      <c r="C270" s="3" t="s">
        <v>491</v>
      </c>
      <c r="D270" s="22"/>
    </row>
    <row r="271" spans="1:5" ht="15.5">
      <c r="A271" s="23">
        <v>45790</v>
      </c>
      <c r="B271" s="5">
        <v>3000</v>
      </c>
      <c r="C271" s="18" t="s">
        <v>791</v>
      </c>
      <c r="D271" s="22"/>
    </row>
    <row r="272" spans="1:5" ht="15.5">
      <c r="A272" s="8">
        <v>45794</v>
      </c>
      <c r="B272" s="9">
        <v>900</v>
      </c>
      <c r="C272" s="3" t="s">
        <v>366</v>
      </c>
      <c r="D272" s="22"/>
    </row>
    <row r="273" spans="1:6" ht="15.5">
      <c r="A273" s="8">
        <v>45797</v>
      </c>
      <c r="B273" s="9">
        <v>800</v>
      </c>
      <c r="C273" s="3" t="s">
        <v>223</v>
      </c>
      <c r="D273" s="22"/>
    </row>
    <row r="274" spans="1:6" ht="15.5">
      <c r="A274" s="23">
        <v>45793</v>
      </c>
      <c r="B274" s="5">
        <v>1054</v>
      </c>
      <c r="C274" s="18" t="s">
        <v>37</v>
      </c>
      <c r="D274" s="22"/>
    </row>
    <row r="275" spans="1:6" ht="15.5">
      <c r="A275" s="23">
        <v>45793</v>
      </c>
      <c r="B275" s="2">
        <v>171</v>
      </c>
      <c r="C275" s="3" t="s">
        <v>19</v>
      </c>
      <c r="D275" s="22"/>
    </row>
    <row r="276" spans="1:6" ht="15.5">
      <c r="A276" s="23">
        <v>45793</v>
      </c>
      <c r="B276" s="9">
        <v>300</v>
      </c>
      <c r="C276" s="3" t="s">
        <v>792</v>
      </c>
      <c r="D276" s="22"/>
    </row>
    <row r="277" spans="1:6" ht="15.5">
      <c r="A277" s="8">
        <v>45792</v>
      </c>
      <c r="B277" s="9">
        <v>9375</v>
      </c>
      <c r="C277" s="3" t="s">
        <v>793</v>
      </c>
      <c r="D277" s="22"/>
    </row>
    <row r="278" spans="1:6" ht="15.5">
      <c r="A278" s="8">
        <v>45791</v>
      </c>
      <c r="B278" s="9">
        <v>3632</v>
      </c>
      <c r="C278" s="3" t="s">
        <v>6</v>
      </c>
      <c r="D278" s="22"/>
    </row>
    <row r="279" spans="1:6" ht="15.5">
      <c r="A279" s="8">
        <v>45791</v>
      </c>
      <c r="B279" s="9">
        <v>480</v>
      </c>
      <c r="C279" s="3" t="s">
        <v>223</v>
      </c>
      <c r="D279" s="22"/>
    </row>
    <row r="280" spans="1:6" ht="15.5">
      <c r="A280" s="8">
        <v>45802</v>
      </c>
      <c r="B280" s="9">
        <v>650</v>
      </c>
      <c r="C280" s="3" t="s">
        <v>512</v>
      </c>
      <c r="D280" s="22"/>
    </row>
    <row r="281" spans="1:6" ht="15.5">
      <c r="A281" s="8">
        <v>45802</v>
      </c>
      <c r="B281" s="9">
        <v>1400</v>
      </c>
      <c r="C281" s="3" t="s">
        <v>37</v>
      </c>
      <c r="D281" s="22"/>
    </row>
    <row r="282" spans="1:6" ht="15.5">
      <c r="A282" s="8">
        <v>45799</v>
      </c>
      <c r="B282" s="9">
        <v>5500</v>
      </c>
      <c r="C282" s="3" t="s">
        <v>794</v>
      </c>
      <c r="D282" s="22"/>
    </row>
    <row r="283" spans="1:6" ht="15.5">
      <c r="A283" s="8">
        <v>45799</v>
      </c>
      <c r="B283" s="9">
        <v>3034</v>
      </c>
      <c r="C283" s="3" t="s">
        <v>223</v>
      </c>
      <c r="D283" s="22"/>
      <c r="F283">
        <f>1330000/62</f>
        <v>21451.612903225807</v>
      </c>
    </row>
    <row r="284" spans="1:6" ht="15.5">
      <c r="A284" s="8">
        <v>45799</v>
      </c>
      <c r="B284" s="2">
        <v>350</v>
      </c>
      <c r="C284" s="3" t="s">
        <v>192</v>
      </c>
      <c r="D284" s="22"/>
    </row>
    <row r="285" spans="1:6" ht="15.5">
      <c r="A285" s="8">
        <v>45805</v>
      </c>
      <c r="B285" s="9">
        <v>1200</v>
      </c>
      <c r="C285" s="3" t="s">
        <v>37</v>
      </c>
      <c r="D285" s="10"/>
    </row>
    <row r="286" spans="1:6" ht="15.5">
      <c r="A286" s="8">
        <v>45803</v>
      </c>
      <c r="B286" s="9">
        <v>880</v>
      </c>
      <c r="C286" s="3" t="s">
        <v>512</v>
      </c>
    </row>
    <row r="287" spans="1:6" ht="15.5">
      <c r="A287" s="8">
        <v>45805</v>
      </c>
      <c r="B287" s="9">
        <v>3919</v>
      </c>
      <c r="C287" s="3" t="s">
        <v>37</v>
      </c>
    </row>
    <row r="288" spans="1:6" ht="15.5">
      <c r="A288" s="8">
        <v>45805</v>
      </c>
      <c r="B288" s="9">
        <v>4000</v>
      </c>
      <c r="C288" s="3" t="s">
        <v>6</v>
      </c>
    </row>
    <row r="289" spans="1:5" ht="15.5">
      <c r="A289" s="8">
        <v>45805</v>
      </c>
      <c r="B289" s="9">
        <v>600</v>
      </c>
      <c r="C289" s="3" t="s">
        <v>795</v>
      </c>
    </row>
    <row r="290" spans="1:5" ht="15.5">
      <c r="A290" s="8">
        <v>45806</v>
      </c>
      <c r="B290" s="9">
        <v>4500</v>
      </c>
      <c r="C290" s="3" t="s">
        <v>796</v>
      </c>
      <c r="E290">
        <f>1470*60</f>
        <v>88200</v>
      </c>
    </row>
    <row r="291" spans="1:5" ht="15.5">
      <c r="A291" s="8">
        <v>45807</v>
      </c>
      <c r="B291" s="9">
        <v>4000</v>
      </c>
      <c r="C291" s="3" t="s">
        <v>797</v>
      </c>
      <c r="E291">
        <v>10000</v>
      </c>
    </row>
    <row r="292" spans="1:5" ht="15.5">
      <c r="A292" s="8">
        <v>45796</v>
      </c>
      <c r="B292" s="9">
        <v>3000</v>
      </c>
      <c r="C292" s="3" t="s">
        <v>32</v>
      </c>
      <c r="E292">
        <v>15000</v>
      </c>
    </row>
    <row r="293" spans="1:5" ht="15.5">
      <c r="A293" s="8">
        <v>45808</v>
      </c>
      <c r="B293" s="9">
        <v>3800</v>
      </c>
      <c r="C293" s="3" t="s">
        <v>6</v>
      </c>
      <c r="E293">
        <f>SUM(E290:E292)</f>
        <v>113200</v>
      </c>
    </row>
    <row r="294" spans="1:5" ht="15.5">
      <c r="A294" s="8">
        <v>45807</v>
      </c>
      <c r="B294" s="9">
        <v>11300</v>
      </c>
      <c r="C294" s="3" t="s">
        <v>798</v>
      </c>
    </row>
    <row r="295" spans="1:5" ht="15.5">
      <c r="A295" s="8">
        <v>45808</v>
      </c>
      <c r="B295" s="9">
        <v>7000</v>
      </c>
      <c r="C295" s="3" t="s">
        <v>799</v>
      </c>
    </row>
    <row r="296" spans="1:5" ht="15.5">
      <c r="A296" s="8">
        <v>45779</v>
      </c>
      <c r="B296" s="9">
        <v>3153</v>
      </c>
      <c r="C296" s="3" t="s">
        <v>811</v>
      </c>
    </row>
    <row r="297" spans="1:5" ht="15.5">
      <c r="A297" s="8"/>
      <c r="B297" s="9"/>
      <c r="C297" s="3"/>
    </row>
    <row r="298" spans="1:5" ht="15.5">
      <c r="A298" s="8"/>
      <c r="B298" s="9"/>
      <c r="C298" s="3"/>
    </row>
    <row r="299" spans="1:5" ht="15.5">
      <c r="A299" s="8"/>
      <c r="B299" s="9"/>
      <c r="C299" s="3"/>
    </row>
    <row r="300" spans="1:5" ht="15.5">
      <c r="A300" s="8"/>
      <c r="B300" s="9">
        <f>SUM(B240:B296)</f>
        <v>134392</v>
      </c>
      <c r="C300" s="3">
        <f>+B300/30</f>
        <v>4479.7333333333336</v>
      </c>
    </row>
    <row r="301" spans="1:5" ht="15.5">
      <c r="A301" s="8"/>
      <c r="B301" s="9"/>
      <c r="C301" s="3"/>
    </row>
    <row r="302" spans="1:5" ht="15.5">
      <c r="A302" s="8"/>
      <c r="B302" s="9"/>
      <c r="C302" s="3"/>
    </row>
    <row r="303" spans="1:5" ht="15.5">
      <c r="A303" s="8">
        <v>45810</v>
      </c>
      <c r="B303" s="9">
        <v>1659</v>
      </c>
      <c r="C303" s="3" t="s">
        <v>810</v>
      </c>
    </row>
    <row r="304" spans="1:5" ht="15.5">
      <c r="A304" s="8">
        <v>45810</v>
      </c>
      <c r="B304" s="9">
        <v>3153</v>
      </c>
      <c r="C304" s="3" t="s">
        <v>811</v>
      </c>
    </row>
    <row r="305" spans="1:5" ht="15.5">
      <c r="A305" s="8">
        <v>45810</v>
      </c>
      <c r="B305" s="9">
        <v>5000</v>
      </c>
      <c r="C305" s="3" t="s">
        <v>365</v>
      </c>
    </row>
    <row r="306" spans="1:5" ht="15.5">
      <c r="A306" s="8">
        <v>45813</v>
      </c>
      <c r="B306" s="9">
        <v>1300</v>
      </c>
      <c r="C306" s="3" t="s">
        <v>105</v>
      </c>
    </row>
    <row r="307" spans="1:5" ht="15.5">
      <c r="A307" s="8">
        <v>45814</v>
      </c>
      <c r="B307" s="9">
        <v>1400</v>
      </c>
      <c r="C307" s="3" t="s">
        <v>105</v>
      </c>
    </row>
    <row r="308" spans="1:5" ht="15.5">
      <c r="A308" s="8">
        <v>45818</v>
      </c>
      <c r="B308" s="12">
        <v>600</v>
      </c>
      <c r="C308" s="14" t="s">
        <v>816</v>
      </c>
    </row>
    <row r="309" spans="1:5">
      <c r="A309" s="13">
        <v>45818</v>
      </c>
      <c r="B309" s="2">
        <v>1647</v>
      </c>
      <c r="C309" s="16" t="s">
        <v>812</v>
      </c>
    </row>
    <row r="310" spans="1:5">
      <c r="A310" s="13">
        <v>45818</v>
      </c>
      <c r="B310" s="12">
        <v>500</v>
      </c>
      <c r="C310" s="14" t="s">
        <v>813</v>
      </c>
    </row>
    <row r="311" spans="1:5">
      <c r="A311" s="13">
        <v>45815</v>
      </c>
      <c r="B311" s="12">
        <v>1450</v>
      </c>
      <c r="C311" s="14" t="s">
        <v>814</v>
      </c>
    </row>
    <row r="312" spans="1:5">
      <c r="A312" s="13">
        <v>45815</v>
      </c>
      <c r="B312" s="12">
        <v>18878</v>
      </c>
      <c r="C312" s="14" t="s">
        <v>37</v>
      </c>
    </row>
    <row r="313" spans="1:5">
      <c r="A313" s="13">
        <v>45815</v>
      </c>
      <c r="B313" s="12">
        <v>785</v>
      </c>
      <c r="C313" s="14" t="s">
        <v>177</v>
      </c>
    </row>
    <row r="314" spans="1:5">
      <c r="A314" s="13">
        <v>45814</v>
      </c>
      <c r="B314" s="12">
        <v>3000</v>
      </c>
      <c r="C314" s="14" t="s">
        <v>6</v>
      </c>
    </row>
    <row r="315" spans="1:5" ht="15.5">
      <c r="A315" s="8">
        <v>45812</v>
      </c>
      <c r="B315" s="9">
        <v>495</v>
      </c>
      <c r="C315" s="3" t="s">
        <v>19</v>
      </c>
    </row>
    <row r="316" spans="1:5" ht="15.5">
      <c r="A316" s="8">
        <v>45813</v>
      </c>
      <c r="B316" s="9">
        <v>1200</v>
      </c>
      <c r="C316" s="3" t="s">
        <v>815</v>
      </c>
    </row>
    <row r="317" spans="1:5" ht="15.5">
      <c r="A317" s="8">
        <v>45811</v>
      </c>
      <c r="B317" s="9">
        <v>611</v>
      </c>
      <c r="C317" s="3" t="s">
        <v>787</v>
      </c>
      <c r="D317" s="11">
        <f>SUM(B303:B317)</f>
        <v>41678</v>
      </c>
      <c r="E317">
        <f>+D317/10</f>
        <v>4167.8</v>
      </c>
    </row>
    <row r="318" spans="1:5" ht="15.5">
      <c r="A318" s="8">
        <v>45819</v>
      </c>
      <c r="B318" s="9">
        <v>550</v>
      </c>
      <c r="C318" s="3" t="s">
        <v>816</v>
      </c>
    </row>
    <row r="319" spans="1:5" ht="15.5">
      <c r="A319" s="13">
        <v>45819</v>
      </c>
      <c r="B319" s="12">
        <v>175</v>
      </c>
      <c r="C319" s="132" t="s">
        <v>817</v>
      </c>
      <c r="D319" s="11">
        <f>SUM(B303:B319)</f>
        <v>42403</v>
      </c>
      <c r="E319">
        <f>+D319/11</f>
        <v>3854.818181818182</v>
      </c>
    </row>
    <row r="320" spans="1:5">
      <c r="A320" s="13">
        <v>45820</v>
      </c>
      <c r="B320" s="12">
        <v>4200</v>
      </c>
      <c r="C320" s="14" t="s">
        <v>819</v>
      </c>
      <c r="D320" s="11">
        <f>SUM(B303:B320)</f>
        <v>46603</v>
      </c>
      <c r="E320">
        <f>+D320/12</f>
        <v>3883.5833333333335</v>
      </c>
    </row>
    <row r="321" spans="1:5">
      <c r="A321" s="13">
        <v>45821</v>
      </c>
      <c r="B321" s="12">
        <v>900</v>
      </c>
      <c r="C321" s="14" t="s">
        <v>25</v>
      </c>
      <c r="D321" s="11"/>
    </row>
    <row r="322" spans="1:5">
      <c r="A322" s="13">
        <v>45821</v>
      </c>
      <c r="B322" s="12">
        <v>3000</v>
      </c>
      <c r="C322" s="14" t="s">
        <v>820</v>
      </c>
      <c r="D322" s="11"/>
    </row>
    <row r="323" spans="1:5">
      <c r="A323" s="13">
        <v>45823</v>
      </c>
      <c r="B323" s="12">
        <v>1200</v>
      </c>
      <c r="C323" s="14" t="s">
        <v>107</v>
      </c>
      <c r="D323" s="11"/>
    </row>
    <row r="324" spans="1:5">
      <c r="A324" s="13">
        <v>45822</v>
      </c>
      <c r="B324" s="12">
        <v>400</v>
      </c>
      <c r="C324" s="14" t="s">
        <v>9</v>
      </c>
      <c r="D324" s="11"/>
    </row>
    <row r="325" spans="1:5">
      <c r="A325" s="13">
        <v>45822</v>
      </c>
      <c r="B325" s="12">
        <v>400</v>
      </c>
      <c r="C325" s="14" t="s">
        <v>821</v>
      </c>
    </row>
    <row r="326" spans="1:5">
      <c r="A326" s="13">
        <v>45823</v>
      </c>
      <c r="B326" s="12">
        <v>1696.3</v>
      </c>
      <c r="C326" s="14" t="s">
        <v>37</v>
      </c>
    </row>
    <row r="327" spans="1:5">
      <c r="A327" s="13">
        <v>45824</v>
      </c>
      <c r="B327" s="12">
        <v>400</v>
      </c>
      <c r="C327" s="14" t="s">
        <v>822</v>
      </c>
    </row>
    <row r="328" spans="1:5">
      <c r="A328" s="13">
        <v>45824</v>
      </c>
      <c r="B328" s="12">
        <v>743</v>
      </c>
      <c r="C328" s="14" t="s">
        <v>223</v>
      </c>
    </row>
    <row r="329" spans="1:5">
      <c r="A329" s="13">
        <v>45821</v>
      </c>
      <c r="B329" s="12">
        <v>4001</v>
      </c>
      <c r="C329" s="14" t="s">
        <v>6</v>
      </c>
    </row>
    <row r="330" spans="1:5">
      <c r="A330" s="13">
        <v>45820</v>
      </c>
      <c r="B330" s="12">
        <v>196</v>
      </c>
      <c r="C330" s="14" t="s">
        <v>19</v>
      </c>
      <c r="D330" s="11">
        <f>SUM(B303:B330)</f>
        <v>59539.3</v>
      </c>
      <c r="E330">
        <f>+D330/15</f>
        <v>3969.2866666666669</v>
      </c>
    </row>
    <row r="331" spans="1:5">
      <c r="A331" s="13">
        <v>45824</v>
      </c>
      <c r="B331" s="12">
        <v>42000</v>
      </c>
      <c r="C331" s="14" t="s">
        <v>825</v>
      </c>
    </row>
    <row r="332" spans="1:5">
      <c r="A332" s="13">
        <v>45825</v>
      </c>
      <c r="B332" s="12">
        <v>4000</v>
      </c>
      <c r="C332" s="14" t="s">
        <v>828</v>
      </c>
    </row>
    <row r="333" spans="1:5">
      <c r="A333" s="13">
        <v>45825</v>
      </c>
      <c r="B333" s="12">
        <f>25*62</f>
        <v>1550</v>
      </c>
      <c r="C333" s="14" t="s">
        <v>831</v>
      </c>
    </row>
    <row r="334" spans="1:5">
      <c r="A334" s="13">
        <v>45826</v>
      </c>
      <c r="B334" s="12">
        <v>1962</v>
      </c>
      <c r="C334" s="14" t="s">
        <v>19</v>
      </c>
    </row>
    <row r="335" spans="1:5">
      <c r="A335" s="13">
        <v>45824</v>
      </c>
      <c r="B335" s="12">
        <v>1640</v>
      </c>
      <c r="C335" s="14" t="s">
        <v>250</v>
      </c>
    </row>
    <row r="336" spans="1:5">
      <c r="A336" s="13">
        <v>45826</v>
      </c>
      <c r="B336" s="12">
        <v>22500</v>
      </c>
      <c r="C336" s="14" t="s">
        <v>832</v>
      </c>
    </row>
    <row r="337" spans="1:5">
      <c r="A337" s="13">
        <v>45826</v>
      </c>
      <c r="B337" s="12">
        <v>1400</v>
      </c>
      <c r="C337" s="14" t="s">
        <v>105</v>
      </c>
    </row>
    <row r="338" spans="1:5">
      <c r="A338" s="13">
        <v>45826</v>
      </c>
      <c r="B338" s="12">
        <v>600</v>
      </c>
      <c r="C338" s="14" t="s">
        <v>833</v>
      </c>
    </row>
    <row r="339" spans="1:5">
      <c r="A339" s="13">
        <v>45828</v>
      </c>
      <c r="B339" s="12">
        <v>5403</v>
      </c>
      <c r="C339" s="14" t="s">
        <v>37</v>
      </c>
    </row>
    <row r="340" spans="1:5">
      <c r="A340" s="13">
        <v>45828</v>
      </c>
      <c r="B340" s="12">
        <v>3633</v>
      </c>
      <c r="C340" s="14" t="s">
        <v>6</v>
      </c>
    </row>
    <row r="341" spans="1:5">
      <c r="A341" s="13">
        <v>45830</v>
      </c>
      <c r="B341" s="12">
        <v>1310</v>
      </c>
      <c r="C341" s="14" t="s">
        <v>842</v>
      </c>
    </row>
    <row r="342" spans="1:5">
      <c r="A342" s="13">
        <v>45828</v>
      </c>
      <c r="B342" s="12">
        <v>250</v>
      </c>
      <c r="C342" s="14" t="s">
        <v>422</v>
      </c>
    </row>
    <row r="343" spans="1:5">
      <c r="A343" s="13">
        <v>45833</v>
      </c>
      <c r="B343" s="12">
        <v>4018</v>
      </c>
      <c r="C343" s="14" t="s">
        <v>6</v>
      </c>
    </row>
    <row r="344" spans="1:5">
      <c r="A344" s="13">
        <v>45833</v>
      </c>
      <c r="B344" s="12">
        <v>1015</v>
      </c>
      <c r="C344" s="14" t="s">
        <v>37</v>
      </c>
    </row>
    <row r="345" spans="1:5">
      <c r="A345" s="13">
        <v>45832</v>
      </c>
      <c r="B345" s="12">
        <v>824</v>
      </c>
      <c r="C345" s="14" t="s">
        <v>37</v>
      </c>
      <c r="D345" s="11">
        <f>SUM(B303:B345)</f>
        <v>151644.29999999999</v>
      </c>
      <c r="E345">
        <f>+D345/25</f>
        <v>6065.7719999999999</v>
      </c>
    </row>
    <row r="346" spans="1:5">
      <c r="A346" s="13">
        <v>45834</v>
      </c>
      <c r="B346" s="12">
        <v>7200</v>
      </c>
      <c r="C346" s="14" t="s">
        <v>844</v>
      </c>
      <c r="D346" s="11">
        <f>SUM(B304:B346)</f>
        <v>157185.29999999999</v>
      </c>
      <c r="E346">
        <f>+D346/27</f>
        <v>5821.677777777777</v>
      </c>
    </row>
    <row r="347" spans="1:5">
      <c r="A347" s="13">
        <v>45836</v>
      </c>
      <c r="B347" s="12">
        <v>2000</v>
      </c>
      <c r="C347" s="14" t="s">
        <v>848</v>
      </c>
      <c r="D347" s="11"/>
    </row>
    <row r="348" spans="1:5">
      <c r="A348" s="13">
        <v>45837</v>
      </c>
      <c r="B348" s="12">
        <v>4000</v>
      </c>
      <c r="C348" s="14" t="s">
        <v>849</v>
      </c>
      <c r="D348" s="11"/>
    </row>
    <row r="349" spans="1:5">
      <c r="A349" s="14"/>
      <c r="B349" s="12">
        <f>SUM(B303:B348)</f>
        <v>164844.29999999999</v>
      </c>
      <c r="C349" s="12">
        <f>+B349/26</f>
        <v>6340.165384615384</v>
      </c>
    </row>
    <row r="350" spans="1:5">
      <c r="A350" s="14"/>
      <c r="B350" s="12"/>
      <c r="C350" s="14"/>
    </row>
    <row r="351" spans="1:5">
      <c r="A351" s="13">
        <v>45839</v>
      </c>
      <c r="B351" s="12">
        <v>2437</v>
      </c>
      <c r="C351" s="14" t="s">
        <v>852</v>
      </c>
    </row>
    <row r="352" spans="1:5">
      <c r="A352" s="13">
        <v>45839</v>
      </c>
      <c r="B352" s="12">
        <v>622</v>
      </c>
      <c r="C352" s="14" t="s">
        <v>787</v>
      </c>
    </row>
    <row r="353" spans="1:5">
      <c r="A353" s="13">
        <v>45840</v>
      </c>
      <c r="B353" s="12">
        <v>1500</v>
      </c>
      <c r="C353" s="14" t="s">
        <v>850</v>
      </c>
    </row>
    <row r="354" spans="1:5">
      <c r="A354" s="13">
        <v>45840</v>
      </c>
      <c r="B354" s="12">
        <v>4000</v>
      </c>
      <c r="C354" s="14" t="s">
        <v>851</v>
      </c>
    </row>
    <row r="355" spans="1:5">
      <c r="A355" s="13">
        <v>45840</v>
      </c>
      <c r="B355" s="12">
        <v>2830</v>
      </c>
      <c r="C355" s="14" t="s">
        <v>38</v>
      </c>
    </row>
    <row r="356" spans="1:5">
      <c r="A356" s="13">
        <v>45840</v>
      </c>
      <c r="B356" s="12">
        <v>1659</v>
      </c>
      <c r="C356" s="14" t="s">
        <v>38</v>
      </c>
    </row>
    <row r="357" spans="1:5">
      <c r="A357" s="13">
        <v>45841</v>
      </c>
      <c r="B357" s="12">
        <v>4026</v>
      </c>
      <c r="C357" s="14" t="s">
        <v>6</v>
      </c>
      <c r="D357">
        <v>4026</v>
      </c>
    </row>
    <row r="358" spans="1:5">
      <c r="A358" s="13">
        <v>45843</v>
      </c>
      <c r="B358" s="12">
        <v>605</v>
      </c>
      <c r="C358" s="14" t="s">
        <v>861</v>
      </c>
    </row>
    <row r="359" spans="1:5">
      <c r="A359" s="13">
        <v>45844</v>
      </c>
      <c r="B359" s="12">
        <v>800</v>
      </c>
      <c r="C359" s="14" t="s">
        <v>854</v>
      </c>
    </row>
    <row r="360" spans="1:5">
      <c r="A360" s="13">
        <v>45845</v>
      </c>
      <c r="B360" s="12">
        <v>670</v>
      </c>
      <c r="C360" s="14" t="s">
        <v>512</v>
      </c>
    </row>
    <row r="361" spans="1:5">
      <c r="A361" s="13">
        <v>45845</v>
      </c>
      <c r="B361" s="12">
        <v>57165</v>
      </c>
      <c r="C361" s="14" t="s">
        <v>856</v>
      </c>
    </row>
    <row r="362" spans="1:5">
      <c r="A362" s="13">
        <v>45845</v>
      </c>
      <c r="B362" s="12">
        <v>310</v>
      </c>
      <c r="C362" s="14" t="s">
        <v>381</v>
      </c>
    </row>
    <row r="363" spans="1:5">
      <c r="A363" s="13">
        <v>45846</v>
      </c>
      <c r="B363" s="12">
        <v>5000</v>
      </c>
      <c r="C363" s="14" t="s">
        <v>853</v>
      </c>
    </row>
    <row r="364" spans="1:5">
      <c r="A364" s="13">
        <v>45846</v>
      </c>
      <c r="B364" s="135">
        <v>800</v>
      </c>
      <c r="C364" s="14" t="s">
        <v>223</v>
      </c>
    </row>
    <row r="365" spans="1:5">
      <c r="A365" s="13">
        <v>45846</v>
      </c>
      <c r="B365" s="12">
        <v>700</v>
      </c>
      <c r="C365" s="14" t="s">
        <v>346</v>
      </c>
    </row>
    <row r="366" spans="1:5">
      <c r="A366" s="13">
        <v>45847</v>
      </c>
      <c r="B366" s="12">
        <v>3604</v>
      </c>
      <c r="C366" s="14" t="s">
        <v>6</v>
      </c>
      <c r="D366">
        <v>3604</v>
      </c>
    </row>
    <row r="367" spans="1:5">
      <c r="A367" s="13">
        <v>45848</v>
      </c>
      <c r="B367" s="12">
        <v>900</v>
      </c>
      <c r="C367" s="14" t="s">
        <v>37</v>
      </c>
      <c r="E367">
        <v>900</v>
      </c>
    </row>
    <row r="368" spans="1:5">
      <c r="A368" s="13">
        <v>45848</v>
      </c>
      <c r="B368" s="12">
        <v>1000</v>
      </c>
      <c r="C368" s="14" t="s">
        <v>860</v>
      </c>
      <c r="E368">
        <v>1000</v>
      </c>
    </row>
    <row r="369" spans="1:13">
      <c r="A369" s="13">
        <v>45848</v>
      </c>
      <c r="B369" s="12">
        <v>8500</v>
      </c>
      <c r="C369" s="14" t="s">
        <v>856</v>
      </c>
      <c r="F369" s="175"/>
      <c r="G369" s="176" t="s">
        <v>1000</v>
      </c>
      <c r="H369" s="177" t="s">
        <v>1001</v>
      </c>
      <c r="I369" s="176" t="s">
        <v>1002</v>
      </c>
      <c r="J369" s="177" t="s">
        <v>1003</v>
      </c>
      <c r="K369" s="175"/>
      <c r="L369" s="175"/>
      <c r="M369" s="175"/>
    </row>
    <row r="370" spans="1:13">
      <c r="A370" s="13">
        <v>45849</v>
      </c>
      <c r="B370" s="12">
        <v>8500</v>
      </c>
      <c r="C370" s="14" t="s">
        <v>360</v>
      </c>
      <c r="F370" s="12">
        <v>881</v>
      </c>
      <c r="G370" s="135">
        <f>+F370*2500</f>
        <v>2202500</v>
      </c>
      <c r="H370" s="12">
        <v>1700000</v>
      </c>
      <c r="I370" s="12">
        <f>+G370-H370</f>
        <v>502500</v>
      </c>
      <c r="J370" s="12">
        <f>+G370/F370</f>
        <v>2500</v>
      </c>
      <c r="K370" s="14"/>
      <c r="L370" s="174">
        <v>2400</v>
      </c>
      <c r="M370" s="12">
        <f>+F370*L370</f>
        <v>2114400</v>
      </c>
    </row>
    <row r="371" spans="1:13">
      <c r="A371" s="13">
        <v>45849</v>
      </c>
      <c r="B371" s="12">
        <v>3500</v>
      </c>
      <c r="C371" s="14" t="s">
        <v>360</v>
      </c>
      <c r="F371" s="12">
        <v>1470</v>
      </c>
      <c r="G371" s="12">
        <v>5100000</v>
      </c>
      <c r="H371" s="12">
        <v>4300000</v>
      </c>
      <c r="I371" s="12">
        <f>+G371-H371</f>
        <v>800000</v>
      </c>
      <c r="J371" s="12">
        <f>+G371/F371</f>
        <v>3469.387755102041</v>
      </c>
      <c r="K371" s="14"/>
      <c r="L371" s="14"/>
      <c r="M371" s="14"/>
    </row>
    <row r="372" spans="1:13">
      <c r="A372" s="13">
        <v>45849</v>
      </c>
      <c r="B372" s="12">
        <v>1100</v>
      </c>
      <c r="C372" s="14" t="s">
        <v>855</v>
      </c>
      <c r="F372" s="14"/>
      <c r="G372" s="12"/>
      <c r="H372" s="12"/>
      <c r="I372" s="12"/>
      <c r="J372" s="12"/>
      <c r="K372" s="14"/>
      <c r="L372" s="14"/>
      <c r="M372" s="14"/>
    </row>
    <row r="373" spans="1:13">
      <c r="A373" s="13">
        <v>45850</v>
      </c>
      <c r="B373" s="12">
        <v>20000</v>
      </c>
      <c r="C373" s="14" t="s">
        <v>856</v>
      </c>
      <c r="F373" s="14"/>
      <c r="G373" s="12">
        <f>SUM(G370:G372)</f>
        <v>7302500</v>
      </c>
      <c r="H373" s="12">
        <f>SUM(H370:H372)</f>
        <v>6000000</v>
      </c>
      <c r="I373" s="12">
        <f>+G373-H373</f>
        <v>1302500</v>
      </c>
      <c r="J373" s="12"/>
      <c r="K373" s="14"/>
      <c r="L373" s="14"/>
      <c r="M373" s="14"/>
    </row>
    <row r="374" spans="1:13">
      <c r="A374" s="13">
        <v>45850</v>
      </c>
      <c r="B374" s="12">
        <v>3000</v>
      </c>
      <c r="C374" s="14" t="s">
        <v>857</v>
      </c>
      <c r="F374" s="14"/>
      <c r="G374" s="12"/>
      <c r="H374" s="14"/>
      <c r="I374" s="12"/>
      <c r="J374" s="14"/>
      <c r="K374" s="14"/>
      <c r="L374" s="14"/>
      <c r="M374" s="14"/>
    </row>
    <row r="375" spans="1:13">
      <c r="A375" s="13">
        <v>45850</v>
      </c>
      <c r="B375" s="12">
        <v>1000</v>
      </c>
      <c r="C375" s="14" t="s">
        <v>858</v>
      </c>
      <c r="F375" s="14"/>
      <c r="G375" s="12"/>
      <c r="H375" s="14"/>
      <c r="I375" s="12"/>
      <c r="J375" s="14"/>
      <c r="K375" s="14"/>
      <c r="L375" s="14"/>
      <c r="M375" s="14"/>
    </row>
    <row r="376" spans="1:13">
      <c r="A376" s="13">
        <v>45850</v>
      </c>
      <c r="B376" s="12">
        <v>7000</v>
      </c>
      <c r="C376" s="14" t="s">
        <v>859</v>
      </c>
      <c r="F376" s="14"/>
      <c r="G376" s="12"/>
      <c r="H376" s="14"/>
      <c r="I376" s="12"/>
      <c r="J376" s="14"/>
      <c r="K376" s="14" t="s">
        <v>1001</v>
      </c>
      <c r="L376" s="14"/>
      <c r="M376" s="14"/>
    </row>
    <row r="377" spans="1:13">
      <c r="A377" s="13">
        <v>45850</v>
      </c>
      <c r="B377" s="12">
        <v>3500</v>
      </c>
      <c r="C377" s="14" t="s">
        <v>856</v>
      </c>
      <c r="F377" s="12">
        <v>881</v>
      </c>
      <c r="G377" s="135">
        <f>+F377*2500</f>
        <v>2202500</v>
      </c>
      <c r="H377" s="12">
        <v>1850000</v>
      </c>
      <c r="I377" s="12">
        <f>+G377-H377</f>
        <v>352500</v>
      </c>
      <c r="J377" s="12">
        <f>+G377/F377</f>
        <v>2500</v>
      </c>
      <c r="K377" s="125">
        <f>+H377/F377</f>
        <v>2099.8864926220203</v>
      </c>
      <c r="L377" s="14"/>
      <c r="M377" s="14"/>
    </row>
    <row r="378" spans="1:13">
      <c r="A378" s="13">
        <v>45852</v>
      </c>
      <c r="B378" s="12">
        <v>15000</v>
      </c>
      <c r="C378" s="14" t="s">
        <v>856</v>
      </c>
      <c r="F378" s="12">
        <v>1470</v>
      </c>
      <c r="G378" s="12">
        <v>5100000</v>
      </c>
      <c r="H378" s="12">
        <v>4500000</v>
      </c>
      <c r="I378" s="12">
        <f>+G378-H378</f>
        <v>600000</v>
      </c>
      <c r="J378" s="12">
        <f>+G378/F378</f>
        <v>3469.387755102041</v>
      </c>
      <c r="K378" s="125">
        <f>+H378/F378</f>
        <v>3061.2244897959185</v>
      </c>
      <c r="L378" s="14"/>
      <c r="M378" s="14"/>
    </row>
    <row r="379" spans="1:13">
      <c r="A379" s="13">
        <v>45852</v>
      </c>
      <c r="B379" s="12">
        <v>3014</v>
      </c>
      <c r="C379" s="14" t="s">
        <v>856</v>
      </c>
      <c r="F379" s="14"/>
      <c r="G379" s="12"/>
      <c r="H379" s="12"/>
      <c r="I379" s="12"/>
      <c r="J379" s="12"/>
      <c r="K379" s="14"/>
      <c r="L379" s="14"/>
      <c r="M379" s="14"/>
    </row>
    <row r="380" spans="1:13">
      <c r="A380" s="13">
        <v>45850</v>
      </c>
      <c r="B380" s="12">
        <v>2000</v>
      </c>
      <c r="C380" s="14" t="s">
        <v>223</v>
      </c>
      <c r="F380" s="14"/>
      <c r="G380" s="12">
        <f>SUM(G377:G379)</f>
        <v>7302500</v>
      </c>
      <c r="H380" s="12">
        <f>SUM(H377:H379)</f>
        <v>6350000</v>
      </c>
      <c r="I380" s="12">
        <f>+G380-H380</f>
        <v>952500</v>
      </c>
      <c r="J380" s="12"/>
      <c r="K380" s="14"/>
      <c r="L380" s="14"/>
      <c r="M380" s="14"/>
    </row>
    <row r="381" spans="1:13">
      <c r="A381" s="13">
        <v>45855</v>
      </c>
      <c r="B381" s="12">
        <v>9000</v>
      </c>
      <c r="C381" s="14" t="s">
        <v>887</v>
      </c>
      <c r="F381" s="14"/>
      <c r="G381" s="12"/>
      <c r="H381" s="14"/>
      <c r="I381" s="12"/>
      <c r="J381" s="14"/>
      <c r="K381" s="14"/>
      <c r="L381" s="14"/>
      <c r="M381" s="14"/>
    </row>
    <row r="382" spans="1:13">
      <c r="A382" s="13">
        <v>45856</v>
      </c>
      <c r="B382" s="12">
        <v>2000</v>
      </c>
      <c r="C382" s="14" t="s">
        <v>888</v>
      </c>
      <c r="F382" s="14"/>
      <c r="G382" s="12"/>
      <c r="H382" s="14"/>
      <c r="I382" s="12"/>
      <c r="J382" s="14"/>
      <c r="K382" s="14"/>
      <c r="L382" s="14"/>
      <c r="M382" s="14"/>
    </row>
    <row r="383" spans="1:13">
      <c r="A383" s="13">
        <v>45857</v>
      </c>
      <c r="B383" s="12">
        <v>3000</v>
      </c>
      <c r="C383" s="14" t="s">
        <v>857</v>
      </c>
      <c r="F383" s="12">
        <v>881</v>
      </c>
      <c r="G383" s="135">
        <f>+F383*2500</f>
        <v>2202500</v>
      </c>
      <c r="H383" s="12">
        <v>1900000</v>
      </c>
      <c r="I383" s="12">
        <f>+G383-H383</f>
        <v>302500</v>
      </c>
      <c r="J383" s="12">
        <v>2500</v>
      </c>
      <c r="K383" s="125">
        <v>2400</v>
      </c>
      <c r="L383" s="14"/>
      <c r="M383" s="14"/>
    </row>
    <row r="384" spans="1:13">
      <c r="A384" s="13">
        <v>45860</v>
      </c>
      <c r="B384" s="12">
        <v>1000</v>
      </c>
      <c r="C384" s="14" t="s">
        <v>889</v>
      </c>
      <c r="F384" s="12">
        <v>1470</v>
      </c>
      <c r="G384" s="12">
        <v>5100000</v>
      </c>
      <c r="H384" s="12">
        <v>4700000</v>
      </c>
      <c r="I384" s="12">
        <f>+G384-H384</f>
        <v>400000</v>
      </c>
      <c r="J384" s="12">
        <f>+G384/F384</f>
        <v>3469.387755102041</v>
      </c>
      <c r="K384" s="125">
        <f>+H384/F384</f>
        <v>3197.278911564626</v>
      </c>
      <c r="L384" s="14"/>
      <c r="M384" s="14"/>
    </row>
    <row r="385" spans="1:13">
      <c r="A385" s="13">
        <v>45860</v>
      </c>
      <c r="B385" s="12">
        <v>5000</v>
      </c>
      <c r="C385" s="14" t="s">
        <v>890</v>
      </c>
      <c r="F385" s="14"/>
      <c r="G385" s="12"/>
      <c r="H385" s="12"/>
      <c r="I385" s="12"/>
      <c r="J385" s="12"/>
      <c r="K385" s="14"/>
      <c r="L385" s="14"/>
      <c r="M385" s="14"/>
    </row>
    <row r="386" spans="1:13">
      <c r="A386" s="13">
        <v>45860</v>
      </c>
      <c r="B386" s="12">
        <v>700</v>
      </c>
      <c r="C386" s="14" t="s">
        <v>891</v>
      </c>
      <c r="F386" s="14"/>
      <c r="G386" s="12">
        <f>SUM(G383:G385)</f>
        <v>7302500</v>
      </c>
      <c r="H386" s="12">
        <f>SUM(H383:H385)</f>
        <v>6600000</v>
      </c>
      <c r="I386" s="12">
        <f>+G386-H386</f>
        <v>702500</v>
      </c>
      <c r="J386" s="12"/>
      <c r="K386" s="14"/>
      <c r="L386" s="14"/>
      <c r="M386" s="14"/>
    </row>
    <row r="387" spans="1:13">
      <c r="A387" s="13">
        <v>45862</v>
      </c>
      <c r="B387" s="12">
        <v>500</v>
      </c>
      <c r="C387" s="14" t="s">
        <v>892</v>
      </c>
    </row>
    <row r="388" spans="1:13">
      <c r="A388" s="13">
        <v>45862</v>
      </c>
      <c r="B388" s="12">
        <v>1000</v>
      </c>
      <c r="C388" s="14" t="s">
        <v>893</v>
      </c>
    </row>
    <row r="389" spans="1:13">
      <c r="A389" s="13">
        <v>45862</v>
      </c>
      <c r="B389" s="12">
        <v>500</v>
      </c>
      <c r="C389" s="14" t="s">
        <v>894</v>
      </c>
    </row>
    <row r="390" spans="1:13">
      <c r="A390" s="13">
        <v>45862</v>
      </c>
      <c r="B390" s="12">
        <v>200</v>
      </c>
      <c r="C390" s="14" t="s">
        <v>895</v>
      </c>
    </row>
    <row r="391" spans="1:13">
      <c r="A391" s="13">
        <v>45868</v>
      </c>
      <c r="B391" s="12">
        <v>2823</v>
      </c>
      <c r="C391" s="14" t="s">
        <v>811</v>
      </c>
    </row>
    <row r="392" spans="1:13">
      <c r="A392" s="13">
        <v>45864</v>
      </c>
      <c r="B392" s="12">
        <v>1000</v>
      </c>
      <c r="C392" s="14" t="s">
        <v>815</v>
      </c>
    </row>
    <row r="393" spans="1:13">
      <c r="A393" s="13">
        <v>45864</v>
      </c>
      <c r="B393" s="12">
        <v>4500</v>
      </c>
      <c r="C393" s="14" t="s">
        <v>896</v>
      </c>
    </row>
    <row r="394" spans="1:13">
      <c r="A394" s="13">
        <v>45860</v>
      </c>
      <c r="B394" s="12">
        <v>2000</v>
      </c>
      <c r="C394" s="14" t="s">
        <v>897</v>
      </c>
    </row>
    <row r="395" spans="1:13">
      <c r="A395" s="13">
        <v>45867</v>
      </c>
      <c r="B395" s="12">
        <v>440</v>
      </c>
      <c r="C395" s="14" t="s">
        <v>512</v>
      </c>
    </row>
    <row r="396" spans="1:13">
      <c r="A396" s="13">
        <v>45865</v>
      </c>
      <c r="B396" s="12">
        <v>3617</v>
      </c>
      <c r="C396" s="14" t="s">
        <v>6</v>
      </c>
      <c r="D396">
        <v>3617</v>
      </c>
    </row>
    <row r="397" spans="1:13">
      <c r="A397" s="13">
        <v>45856</v>
      </c>
      <c r="B397" s="12">
        <v>5551</v>
      </c>
      <c r="C397" s="14" t="s">
        <v>37</v>
      </c>
      <c r="E397">
        <v>5551</v>
      </c>
    </row>
    <row r="398" spans="1:13">
      <c r="A398" s="13">
        <v>45862</v>
      </c>
      <c r="B398" s="12">
        <v>3780</v>
      </c>
      <c r="C398" s="14" t="s">
        <v>6</v>
      </c>
      <c r="D398">
        <v>3780</v>
      </c>
    </row>
    <row r="399" spans="1:13">
      <c r="A399" s="13">
        <v>45861</v>
      </c>
      <c r="B399" s="12">
        <v>3000</v>
      </c>
      <c r="C399" s="14" t="s">
        <v>898</v>
      </c>
    </row>
    <row r="400" spans="1:13">
      <c r="A400" s="13">
        <v>45860</v>
      </c>
      <c r="B400" s="12">
        <v>1856</v>
      </c>
      <c r="C400" s="14" t="s">
        <v>37</v>
      </c>
      <c r="E400">
        <v>1856</v>
      </c>
    </row>
    <row r="401" spans="1:5">
      <c r="A401" s="13">
        <v>45860</v>
      </c>
      <c r="B401" s="12">
        <v>750</v>
      </c>
      <c r="C401" s="14" t="s">
        <v>899</v>
      </c>
    </row>
    <row r="402" spans="1:5">
      <c r="A402" s="13">
        <v>45855</v>
      </c>
      <c r="B402" s="12">
        <v>3691</v>
      </c>
      <c r="C402" s="14" t="s">
        <v>6</v>
      </c>
      <c r="D402">
        <v>3691</v>
      </c>
    </row>
    <row r="403" spans="1:5">
      <c r="A403" s="13">
        <v>45855</v>
      </c>
      <c r="B403" s="12">
        <v>560</v>
      </c>
      <c r="C403" s="14" t="s">
        <v>512</v>
      </c>
    </row>
    <row r="404" spans="1:5">
      <c r="A404" s="13">
        <v>45869</v>
      </c>
      <c r="B404" s="12">
        <v>700</v>
      </c>
      <c r="C404" s="14" t="s">
        <v>900</v>
      </c>
    </row>
    <row r="405" spans="1:5">
      <c r="A405" s="13">
        <v>45869</v>
      </c>
      <c r="B405" s="12">
        <v>3400</v>
      </c>
      <c r="C405" s="14" t="s">
        <v>6</v>
      </c>
      <c r="D405">
        <v>3400</v>
      </c>
    </row>
    <row r="406" spans="1:5">
      <c r="A406" s="13">
        <v>45868</v>
      </c>
      <c r="B406" s="12">
        <v>7000</v>
      </c>
      <c r="C406" s="14" t="s">
        <v>119</v>
      </c>
    </row>
    <row r="407" spans="1:5">
      <c r="A407" s="13">
        <v>45869</v>
      </c>
      <c r="B407" s="12">
        <f>3000*60</f>
        <v>180000</v>
      </c>
      <c r="C407" s="14" t="s">
        <v>200</v>
      </c>
    </row>
    <row r="408" spans="1:5">
      <c r="A408" s="13">
        <v>45860</v>
      </c>
      <c r="B408" s="12">
        <v>2500</v>
      </c>
      <c r="C408" s="14" t="s">
        <v>204</v>
      </c>
    </row>
    <row r="409" spans="1:5">
      <c r="A409" s="14"/>
      <c r="B409" s="12"/>
      <c r="C409" s="14"/>
      <c r="D409">
        <f>SUM(D351:D406)</f>
        <v>22118</v>
      </c>
      <c r="E409">
        <f>SUM(E351:E406)</f>
        <v>9307</v>
      </c>
    </row>
    <row r="410" spans="1:5">
      <c r="A410" s="14"/>
      <c r="B410" s="12">
        <f>SUM(B351:B409)</f>
        <v>414810</v>
      </c>
      <c r="C410" s="12">
        <f>+B410/30</f>
        <v>13827</v>
      </c>
    </row>
    <row r="411" spans="1:5">
      <c r="A411" s="14"/>
      <c r="B411" s="12"/>
      <c r="C411" s="14"/>
    </row>
    <row r="412" spans="1:5">
      <c r="A412" s="122"/>
      <c r="B412" s="121"/>
      <c r="C412" s="122"/>
    </row>
    <row r="413" spans="1:5">
      <c r="A413" s="13"/>
      <c r="B413" s="12"/>
      <c r="C413" s="14"/>
    </row>
    <row r="414" spans="1:5">
      <c r="A414" s="13">
        <v>45870</v>
      </c>
      <c r="B414" s="12">
        <v>3574</v>
      </c>
      <c r="C414" s="14" t="s">
        <v>6</v>
      </c>
    </row>
    <row r="415" spans="1:5">
      <c r="A415" s="13">
        <v>45873</v>
      </c>
      <c r="B415" s="12">
        <v>1000</v>
      </c>
      <c r="C415" s="14" t="s">
        <v>903</v>
      </c>
    </row>
    <row r="416" spans="1:5">
      <c r="A416" s="13">
        <v>45873</v>
      </c>
      <c r="B416" s="12">
        <v>350</v>
      </c>
      <c r="C416" s="14" t="s">
        <v>192</v>
      </c>
    </row>
    <row r="417" spans="1:4">
      <c r="A417" s="13">
        <v>45873</v>
      </c>
      <c r="B417" s="12">
        <v>239</v>
      </c>
      <c r="C417" s="14" t="s">
        <v>24</v>
      </c>
    </row>
    <row r="418" spans="1:4">
      <c r="A418" s="13">
        <v>45874</v>
      </c>
      <c r="B418" s="12">
        <v>633</v>
      </c>
      <c r="C418" s="14" t="s">
        <v>787</v>
      </c>
    </row>
    <row r="419" spans="1:4">
      <c r="A419" s="13">
        <v>45874</v>
      </c>
      <c r="B419" s="12">
        <v>3800</v>
      </c>
      <c r="C419" s="14" t="s">
        <v>190</v>
      </c>
    </row>
    <row r="420" spans="1:4">
      <c r="A420" s="13">
        <v>45874</v>
      </c>
      <c r="B420" s="12">
        <v>2653</v>
      </c>
      <c r="C420" s="14" t="s">
        <v>38</v>
      </c>
    </row>
    <row r="421" spans="1:4">
      <c r="A421" s="13">
        <v>45874</v>
      </c>
      <c r="B421" s="12">
        <f>25*5600</f>
        <v>140000</v>
      </c>
      <c r="C421" s="14" t="s">
        <v>362</v>
      </c>
    </row>
    <row r="422" spans="1:4">
      <c r="A422" s="13">
        <v>45876</v>
      </c>
      <c r="B422" s="12">
        <v>2000</v>
      </c>
      <c r="C422" s="14" t="s">
        <v>904</v>
      </c>
    </row>
    <row r="423" spans="1:4">
      <c r="A423" s="13">
        <v>45876</v>
      </c>
      <c r="B423" s="12">
        <v>9787</v>
      </c>
      <c r="C423" s="14" t="s">
        <v>37</v>
      </c>
      <c r="D423">
        <v>9787</v>
      </c>
    </row>
    <row r="424" spans="1:4">
      <c r="A424" s="13">
        <v>45877</v>
      </c>
      <c r="B424" s="12">
        <v>612</v>
      </c>
      <c r="C424" s="14" t="s">
        <v>37</v>
      </c>
      <c r="D424">
        <v>612</v>
      </c>
    </row>
    <row r="425" spans="1:4">
      <c r="A425" s="13">
        <v>45877</v>
      </c>
      <c r="B425" s="12">
        <v>5000</v>
      </c>
      <c r="C425" s="14" t="s">
        <v>909</v>
      </c>
    </row>
    <row r="426" spans="1:4">
      <c r="A426" s="13">
        <v>45878</v>
      </c>
      <c r="B426" s="12">
        <v>500</v>
      </c>
      <c r="C426" s="14" t="s">
        <v>789</v>
      </c>
    </row>
    <row r="427" spans="1:4">
      <c r="A427" s="13">
        <v>45880</v>
      </c>
      <c r="B427" s="12">
        <v>1000</v>
      </c>
      <c r="C427" s="14" t="s">
        <v>905</v>
      </c>
    </row>
    <row r="428" spans="1:4">
      <c r="A428" s="13">
        <v>45880</v>
      </c>
      <c r="B428" s="12">
        <v>1700</v>
      </c>
      <c r="C428" s="14" t="s">
        <v>906</v>
      </c>
    </row>
    <row r="429" spans="1:4">
      <c r="A429" s="13">
        <v>45881</v>
      </c>
      <c r="B429" s="12">
        <v>185</v>
      </c>
      <c r="C429" s="14" t="s">
        <v>908</v>
      </c>
    </row>
    <row r="430" spans="1:4">
      <c r="A430" s="13">
        <v>45881</v>
      </c>
      <c r="B430" s="135">
        <v>1775</v>
      </c>
      <c r="C430" s="14" t="s">
        <v>906</v>
      </c>
    </row>
    <row r="431" spans="1:4">
      <c r="A431" s="13">
        <v>45881</v>
      </c>
      <c r="B431" s="12">
        <v>3792</v>
      </c>
      <c r="C431" s="14" t="s">
        <v>6</v>
      </c>
    </row>
    <row r="432" spans="1:4">
      <c r="A432" s="13">
        <v>45881</v>
      </c>
      <c r="B432" s="12"/>
      <c r="C432" s="14" t="s">
        <v>339</v>
      </c>
    </row>
    <row r="433" spans="1:4">
      <c r="A433" s="13">
        <v>45881</v>
      </c>
      <c r="B433" s="12"/>
      <c r="C433" s="14" t="s">
        <v>339</v>
      </c>
    </row>
    <row r="434" spans="1:4">
      <c r="A434" s="13">
        <v>45882</v>
      </c>
      <c r="B434" s="12">
        <v>16500</v>
      </c>
      <c r="C434" s="14" t="s">
        <v>913</v>
      </c>
    </row>
    <row r="435" spans="1:4">
      <c r="A435" s="13">
        <v>45883</v>
      </c>
      <c r="B435" s="12">
        <v>1659</v>
      </c>
      <c r="C435" s="14" t="s">
        <v>38</v>
      </c>
    </row>
    <row r="436" spans="1:4">
      <c r="A436" s="13">
        <v>45883</v>
      </c>
      <c r="B436" s="12">
        <v>11500</v>
      </c>
      <c r="C436" s="14" t="s">
        <v>911</v>
      </c>
    </row>
    <row r="437" spans="1:4">
      <c r="A437" s="13">
        <v>45883</v>
      </c>
      <c r="B437" s="12">
        <v>1100</v>
      </c>
      <c r="C437" s="14" t="s">
        <v>912</v>
      </c>
    </row>
    <row r="438" spans="1:4">
      <c r="A438" s="13">
        <v>45883</v>
      </c>
      <c r="B438" s="12">
        <v>6500</v>
      </c>
      <c r="C438" s="14" t="s">
        <v>909</v>
      </c>
    </row>
    <row r="439" spans="1:4">
      <c r="A439" s="13">
        <v>45883</v>
      </c>
      <c r="B439" s="12">
        <v>30000</v>
      </c>
      <c r="C439" s="14" t="s">
        <v>915</v>
      </c>
    </row>
    <row r="440" spans="1:4">
      <c r="A440" s="13">
        <v>45884</v>
      </c>
      <c r="B440" s="12">
        <v>7000</v>
      </c>
      <c r="C440" s="14" t="s">
        <v>859</v>
      </c>
    </row>
    <row r="441" spans="1:4">
      <c r="A441" s="13">
        <v>45884</v>
      </c>
      <c r="B441" s="12">
        <v>700</v>
      </c>
      <c r="C441" s="14" t="s">
        <v>337</v>
      </c>
    </row>
    <row r="442" spans="1:4">
      <c r="A442" s="13">
        <v>45887</v>
      </c>
      <c r="B442" s="12">
        <v>4290</v>
      </c>
      <c r="C442" s="14" t="s">
        <v>6</v>
      </c>
    </row>
    <row r="443" spans="1:4">
      <c r="A443" s="13">
        <v>45887</v>
      </c>
      <c r="B443" s="12">
        <v>965</v>
      </c>
      <c r="C443" s="14" t="s">
        <v>37</v>
      </c>
      <c r="D443">
        <v>965</v>
      </c>
    </row>
    <row r="444" spans="1:4">
      <c r="A444" s="13">
        <v>45887</v>
      </c>
      <c r="B444" s="12">
        <v>2000</v>
      </c>
      <c r="C444" s="14" t="s">
        <v>925</v>
      </c>
    </row>
    <row r="445" spans="1:4">
      <c r="A445" s="13">
        <v>45887</v>
      </c>
      <c r="B445" s="12">
        <v>2000</v>
      </c>
      <c r="C445" s="14" t="s">
        <v>924</v>
      </c>
    </row>
    <row r="446" spans="1:4">
      <c r="A446" s="13">
        <v>45889</v>
      </c>
      <c r="B446" s="12">
        <v>106650</v>
      </c>
      <c r="C446" s="14" t="s">
        <v>917</v>
      </c>
    </row>
    <row r="447" spans="1:4">
      <c r="A447" s="13">
        <v>45889</v>
      </c>
      <c r="B447" s="12">
        <v>72000</v>
      </c>
      <c r="C447" s="14" t="s">
        <v>918</v>
      </c>
    </row>
    <row r="448" spans="1:4">
      <c r="A448" s="13">
        <v>45889</v>
      </c>
      <c r="B448" s="12">
        <v>40000</v>
      </c>
      <c r="C448" s="14" t="s">
        <v>919</v>
      </c>
    </row>
    <row r="449" spans="1:3">
      <c r="A449" s="13">
        <v>45889</v>
      </c>
      <c r="B449" s="12">
        <v>40000</v>
      </c>
      <c r="C449" s="14" t="s">
        <v>920</v>
      </c>
    </row>
    <row r="450" spans="1:3">
      <c r="A450" s="13">
        <v>45889</v>
      </c>
      <c r="B450" s="12">
        <v>10000</v>
      </c>
      <c r="C450" s="14" t="s">
        <v>921</v>
      </c>
    </row>
    <row r="451" spans="1:3">
      <c r="A451" s="13">
        <v>45889</v>
      </c>
      <c r="B451" s="12">
        <v>5431</v>
      </c>
      <c r="C451" s="14"/>
    </row>
    <row r="452" spans="1:3">
      <c r="A452" s="13">
        <v>45889</v>
      </c>
      <c r="B452" s="12"/>
      <c r="C452" s="14"/>
    </row>
    <row r="453" spans="1:3">
      <c r="A453" s="13">
        <v>45889</v>
      </c>
      <c r="B453" s="12"/>
      <c r="C453" s="14"/>
    </row>
    <row r="454" spans="1:3">
      <c r="A454" s="13">
        <v>45889</v>
      </c>
      <c r="B454" s="12">
        <v>2823</v>
      </c>
      <c r="C454" s="14" t="s">
        <v>811</v>
      </c>
    </row>
    <row r="455" spans="1:3">
      <c r="A455" s="13">
        <v>45890</v>
      </c>
      <c r="B455" s="12">
        <f>30*5600</f>
        <v>168000</v>
      </c>
      <c r="C455" s="14" t="s">
        <v>362</v>
      </c>
    </row>
    <row r="456" spans="1:3">
      <c r="A456" s="13">
        <v>45895</v>
      </c>
      <c r="B456" s="12">
        <v>1000</v>
      </c>
      <c r="C456" s="14" t="s">
        <v>815</v>
      </c>
    </row>
    <row r="457" spans="1:3">
      <c r="A457" s="13">
        <v>45895</v>
      </c>
      <c r="B457" s="12">
        <v>13500</v>
      </c>
      <c r="C457" s="14" t="s">
        <v>896</v>
      </c>
    </row>
    <row r="458" spans="1:3">
      <c r="A458" s="13">
        <v>45896</v>
      </c>
      <c r="B458" s="12">
        <v>30000</v>
      </c>
      <c r="C458" s="14" t="s">
        <v>200</v>
      </c>
    </row>
    <row r="459" spans="1:3">
      <c r="A459" s="13">
        <v>45897</v>
      </c>
      <c r="B459" s="12">
        <v>4000</v>
      </c>
      <c r="C459" s="14" t="s">
        <v>929</v>
      </c>
    </row>
    <row r="460" spans="1:3">
      <c r="A460" s="13">
        <v>45899</v>
      </c>
      <c r="B460" s="12">
        <v>7000</v>
      </c>
      <c r="C460" s="14" t="s">
        <v>119</v>
      </c>
    </row>
    <row r="461" spans="1:3">
      <c r="A461" s="13">
        <v>45899</v>
      </c>
      <c r="B461" s="12">
        <v>7174</v>
      </c>
      <c r="C461" s="14" t="s">
        <v>37</v>
      </c>
    </row>
    <row r="462" spans="1:3">
      <c r="A462" s="13">
        <v>45899</v>
      </c>
      <c r="B462" s="12">
        <v>785</v>
      </c>
      <c r="C462" s="14" t="s">
        <v>177</v>
      </c>
    </row>
    <row r="463" spans="1:3">
      <c r="A463" s="13">
        <v>45900</v>
      </c>
      <c r="B463" s="12">
        <v>40000</v>
      </c>
      <c r="C463" s="14" t="s">
        <v>947</v>
      </c>
    </row>
    <row r="464" spans="1:3">
      <c r="A464" s="13"/>
      <c r="B464" s="12"/>
      <c r="C464" s="14"/>
    </row>
    <row r="465" spans="1:4">
      <c r="A465" s="14"/>
      <c r="B465" s="12"/>
      <c r="C465" s="14"/>
    </row>
    <row r="466" spans="1:4">
      <c r="A466" s="14"/>
      <c r="B466" s="12">
        <f>SUM(B413:B465)</f>
        <v>811177</v>
      </c>
      <c r="C466" s="12">
        <f>+B466/30</f>
        <v>27039.233333333334</v>
      </c>
    </row>
    <row r="468" spans="1:4">
      <c r="A468" s="179" t="s">
        <v>952</v>
      </c>
      <c r="B468" s="179"/>
      <c r="C468" s="179"/>
    </row>
    <row r="469" spans="1:4">
      <c r="A469" s="13"/>
      <c r="B469" s="12"/>
      <c r="C469" s="14"/>
    </row>
    <row r="470" spans="1:4">
      <c r="A470" s="13">
        <v>45901</v>
      </c>
      <c r="B470" s="12">
        <v>389</v>
      </c>
      <c r="C470" s="14" t="s">
        <v>954</v>
      </c>
    </row>
    <row r="471" spans="1:4">
      <c r="A471" s="13">
        <v>45901</v>
      </c>
      <c r="B471" s="12">
        <v>878</v>
      </c>
      <c r="C471" s="14" t="s">
        <v>512</v>
      </c>
    </row>
    <row r="472" spans="1:4">
      <c r="A472" s="13">
        <v>45901</v>
      </c>
      <c r="B472" s="12">
        <v>653</v>
      </c>
      <c r="C472" s="14" t="s">
        <v>787</v>
      </c>
    </row>
    <row r="473" spans="1:4">
      <c r="A473" s="13">
        <v>45902</v>
      </c>
      <c r="B473" s="121">
        <v>3480</v>
      </c>
      <c r="C473" s="14" t="s">
        <v>6</v>
      </c>
      <c r="D473">
        <v>3480</v>
      </c>
    </row>
    <row r="474" spans="1:4">
      <c r="A474" s="13">
        <v>45904</v>
      </c>
      <c r="B474" s="12">
        <v>1840</v>
      </c>
      <c r="C474" s="14" t="s">
        <v>953</v>
      </c>
    </row>
    <row r="475" spans="1:4">
      <c r="A475" s="13">
        <v>45905</v>
      </c>
      <c r="B475" s="12">
        <v>1751</v>
      </c>
      <c r="C475" s="14" t="s">
        <v>980</v>
      </c>
    </row>
    <row r="476" spans="1:4">
      <c r="A476" s="13">
        <v>45905</v>
      </c>
      <c r="B476" s="12">
        <v>1000</v>
      </c>
      <c r="C476" s="14" t="s">
        <v>815</v>
      </c>
    </row>
    <row r="477" spans="1:4">
      <c r="A477" s="13">
        <v>45905</v>
      </c>
      <c r="B477" s="12">
        <v>3800</v>
      </c>
      <c r="C477" s="14" t="s">
        <v>190</v>
      </c>
    </row>
    <row r="478" spans="1:4">
      <c r="A478" s="13">
        <v>45905</v>
      </c>
      <c r="B478" s="12">
        <v>1689</v>
      </c>
      <c r="C478" s="14" t="s">
        <v>19</v>
      </c>
    </row>
    <row r="479" spans="1:4">
      <c r="A479" s="13">
        <v>45905</v>
      </c>
      <c r="B479" s="12">
        <v>460</v>
      </c>
      <c r="C479" s="14" t="s">
        <v>19</v>
      </c>
    </row>
    <row r="480" spans="1:4">
      <c r="A480" s="13">
        <v>45905</v>
      </c>
      <c r="B480" s="12">
        <v>2653</v>
      </c>
      <c r="C480" s="14" t="s">
        <v>955</v>
      </c>
    </row>
    <row r="481" spans="1:5">
      <c r="A481" s="13">
        <v>45905</v>
      </c>
      <c r="B481" s="12">
        <v>750</v>
      </c>
      <c r="C481" s="14" t="s">
        <v>19</v>
      </c>
    </row>
    <row r="482" spans="1:5">
      <c r="A482" s="13">
        <v>45906</v>
      </c>
      <c r="B482" s="12">
        <v>1796</v>
      </c>
      <c r="C482" s="14" t="s">
        <v>223</v>
      </c>
    </row>
    <row r="483" spans="1:5">
      <c r="A483" s="13">
        <v>45906</v>
      </c>
      <c r="B483" s="12">
        <v>4000</v>
      </c>
      <c r="C483" s="14" t="s">
        <v>961</v>
      </c>
    </row>
    <row r="484" spans="1:5">
      <c r="A484" s="13">
        <v>45906</v>
      </c>
      <c r="B484" s="12">
        <v>2200</v>
      </c>
      <c r="C484" s="14" t="s">
        <v>925</v>
      </c>
    </row>
    <row r="485" spans="1:5">
      <c r="A485" s="13">
        <v>45906</v>
      </c>
      <c r="B485" s="12">
        <v>12500</v>
      </c>
      <c r="C485" s="14" t="s">
        <v>339</v>
      </c>
    </row>
    <row r="486" spans="1:5">
      <c r="A486" s="13">
        <v>45907</v>
      </c>
      <c r="B486" s="12">
        <v>3000</v>
      </c>
      <c r="C486" s="14" t="s">
        <v>73</v>
      </c>
    </row>
    <row r="487" spans="1:5">
      <c r="A487" s="13">
        <v>45908</v>
      </c>
      <c r="B487" s="12">
        <v>469</v>
      </c>
      <c r="C487" s="14" t="s">
        <v>19</v>
      </c>
    </row>
    <row r="488" spans="1:5">
      <c r="A488" s="13">
        <v>45909</v>
      </c>
      <c r="B488" s="121">
        <v>3724</v>
      </c>
      <c r="C488" s="14" t="s">
        <v>6</v>
      </c>
      <c r="D488">
        <v>3724</v>
      </c>
    </row>
    <row r="489" spans="1:5">
      <c r="A489" s="13">
        <v>45909</v>
      </c>
      <c r="B489" s="12">
        <v>720</v>
      </c>
      <c r="C489" s="14" t="s">
        <v>19</v>
      </c>
    </row>
    <row r="490" spans="1:5">
      <c r="A490" s="13">
        <v>45909</v>
      </c>
      <c r="B490" s="12">
        <v>88200</v>
      </c>
      <c r="C490" s="14" t="s">
        <v>979</v>
      </c>
    </row>
    <row r="491" spans="1:5">
      <c r="A491" s="13">
        <v>45911</v>
      </c>
      <c r="B491" s="12">
        <v>399</v>
      </c>
      <c r="C491" s="14" t="s">
        <v>192</v>
      </c>
      <c r="E491">
        <v>399</v>
      </c>
    </row>
    <row r="492" spans="1:5">
      <c r="A492" s="13"/>
      <c r="B492" s="12"/>
      <c r="C492" s="14"/>
    </row>
    <row r="493" spans="1:5">
      <c r="A493" s="13">
        <v>45911</v>
      </c>
      <c r="B493" s="12">
        <v>10500</v>
      </c>
      <c r="C493" s="14" t="s">
        <v>962</v>
      </c>
    </row>
    <row r="494" spans="1:5">
      <c r="A494" s="13">
        <v>45911</v>
      </c>
      <c r="B494" s="12">
        <v>4500</v>
      </c>
      <c r="C494" s="14" t="s">
        <v>963</v>
      </c>
    </row>
    <row r="495" spans="1:5">
      <c r="A495" s="13">
        <v>45911</v>
      </c>
      <c r="B495" s="12">
        <v>7500</v>
      </c>
      <c r="C495" s="14" t="s">
        <v>965</v>
      </c>
    </row>
    <row r="496" spans="1:5">
      <c r="A496" s="13">
        <v>45911</v>
      </c>
      <c r="B496" s="12">
        <v>500</v>
      </c>
      <c r="C496" s="14" t="s">
        <v>966</v>
      </c>
    </row>
    <row r="497" spans="1:5">
      <c r="A497" s="13">
        <v>45912</v>
      </c>
      <c r="B497" s="135">
        <v>13500</v>
      </c>
      <c r="C497" s="14" t="s">
        <v>978</v>
      </c>
    </row>
    <row r="498" spans="1:5">
      <c r="A498" s="13">
        <v>45912</v>
      </c>
      <c r="B498" s="12">
        <v>72000</v>
      </c>
      <c r="C498" s="14" t="s">
        <v>964</v>
      </c>
    </row>
    <row r="499" spans="1:5">
      <c r="A499" s="13">
        <v>45915</v>
      </c>
      <c r="B499" s="12">
        <v>11810</v>
      </c>
      <c r="C499" s="14" t="s">
        <v>977</v>
      </c>
    </row>
    <row r="500" spans="1:5">
      <c r="A500" s="13">
        <v>45915</v>
      </c>
      <c r="B500" s="12">
        <v>622</v>
      </c>
      <c r="C500" s="14" t="s">
        <v>37</v>
      </c>
      <c r="E500">
        <v>622</v>
      </c>
    </row>
    <row r="501" spans="1:5">
      <c r="A501" s="13">
        <v>45915</v>
      </c>
      <c r="B501" s="12">
        <v>7000</v>
      </c>
      <c r="C501" s="14" t="s">
        <v>789</v>
      </c>
    </row>
    <row r="502" spans="1:5">
      <c r="A502" s="13">
        <v>45915</v>
      </c>
      <c r="B502" s="12">
        <v>3996</v>
      </c>
      <c r="C502" s="14" t="s">
        <v>37</v>
      </c>
      <c r="E502">
        <v>3996</v>
      </c>
    </row>
    <row r="503" spans="1:5">
      <c r="A503" s="13">
        <v>45915</v>
      </c>
      <c r="B503" s="12">
        <v>630</v>
      </c>
      <c r="C503" s="14" t="s">
        <v>19</v>
      </c>
    </row>
    <row r="504" spans="1:5">
      <c r="A504" s="13">
        <v>45915</v>
      </c>
      <c r="B504" s="121">
        <v>3705</v>
      </c>
      <c r="C504" s="14" t="s">
        <v>6</v>
      </c>
      <c r="D504">
        <v>3705</v>
      </c>
    </row>
    <row r="505" spans="1:5">
      <c r="A505" s="13">
        <v>45917</v>
      </c>
      <c r="B505" s="12">
        <v>18000</v>
      </c>
      <c r="C505" s="14" t="s">
        <v>972</v>
      </c>
    </row>
    <row r="506" spans="1:5">
      <c r="A506" s="13">
        <v>45917</v>
      </c>
      <c r="B506" s="12">
        <v>27948</v>
      </c>
      <c r="C506" s="14" t="s">
        <v>976</v>
      </c>
    </row>
    <row r="507" spans="1:5">
      <c r="A507" s="13">
        <v>45918</v>
      </c>
      <c r="B507" s="12">
        <v>3813</v>
      </c>
      <c r="C507" s="14" t="s">
        <v>37</v>
      </c>
      <c r="E507">
        <v>3813</v>
      </c>
    </row>
    <row r="508" spans="1:5">
      <c r="A508" s="13">
        <v>45918</v>
      </c>
      <c r="B508" s="121">
        <v>2000</v>
      </c>
      <c r="C508" s="14" t="s">
        <v>6</v>
      </c>
      <c r="D508">
        <v>2000</v>
      </c>
    </row>
    <row r="509" spans="1:5">
      <c r="A509" s="13">
        <v>45920</v>
      </c>
      <c r="B509" s="12">
        <v>424</v>
      </c>
      <c r="C509" s="14" t="s">
        <v>37</v>
      </c>
      <c r="E509">
        <v>424</v>
      </c>
    </row>
    <row r="510" spans="1:5">
      <c r="A510" s="13">
        <v>45922</v>
      </c>
      <c r="B510" s="121">
        <v>4256</v>
      </c>
      <c r="C510" s="14" t="s">
        <v>6</v>
      </c>
      <c r="D510">
        <v>4256</v>
      </c>
    </row>
    <row r="511" spans="1:5">
      <c r="A511" s="13">
        <v>45922</v>
      </c>
      <c r="B511" s="12">
        <v>997</v>
      </c>
      <c r="C511" s="14" t="s">
        <v>37</v>
      </c>
      <c r="E511">
        <v>997</v>
      </c>
    </row>
    <row r="512" spans="1:5">
      <c r="A512" s="13">
        <v>45922</v>
      </c>
      <c r="B512" s="12">
        <v>285</v>
      </c>
      <c r="C512" s="14" t="s">
        <v>975</v>
      </c>
    </row>
    <row r="513" spans="1:5">
      <c r="A513" s="13">
        <v>45924</v>
      </c>
      <c r="B513" s="12">
        <v>1027</v>
      </c>
      <c r="C513" s="14" t="s">
        <v>37</v>
      </c>
      <c r="E513">
        <v>1027</v>
      </c>
    </row>
    <row r="514" spans="1:5">
      <c r="A514" s="13">
        <v>45926</v>
      </c>
      <c r="B514" s="121">
        <v>2000</v>
      </c>
      <c r="C514" s="14" t="s">
        <v>6</v>
      </c>
      <c r="D514">
        <v>2000</v>
      </c>
    </row>
    <row r="515" spans="1:5">
      <c r="A515" s="13">
        <v>45927</v>
      </c>
      <c r="B515" s="12">
        <v>9527</v>
      </c>
      <c r="C515" s="14" t="s">
        <v>974</v>
      </c>
    </row>
    <row r="516" spans="1:5">
      <c r="A516" s="13">
        <v>45929</v>
      </c>
      <c r="B516" s="12">
        <v>8000</v>
      </c>
      <c r="C516" s="14" t="s">
        <v>973</v>
      </c>
    </row>
    <row r="517" spans="1:5">
      <c r="A517" s="13">
        <v>45923</v>
      </c>
      <c r="B517" s="12">
        <v>2000</v>
      </c>
      <c r="C517" s="14" t="s">
        <v>540</v>
      </c>
    </row>
    <row r="518" spans="1:5">
      <c r="A518" s="13">
        <v>45929</v>
      </c>
      <c r="B518" s="12">
        <v>5000</v>
      </c>
      <c r="C518" s="14" t="s">
        <v>981</v>
      </c>
    </row>
    <row r="519" spans="1:5">
      <c r="A519" s="13">
        <v>45929</v>
      </c>
      <c r="B519" s="121">
        <v>3400</v>
      </c>
      <c r="C519" s="14" t="s">
        <v>6</v>
      </c>
      <c r="D519">
        <v>3400</v>
      </c>
      <c r="E519" t="s">
        <v>983</v>
      </c>
    </row>
    <row r="520" spans="1:5">
      <c r="A520" s="13">
        <v>45929</v>
      </c>
      <c r="B520" s="12">
        <v>2400</v>
      </c>
      <c r="C520" s="14" t="s">
        <v>982</v>
      </c>
    </row>
    <row r="521" spans="1:5">
      <c r="A521" s="13"/>
      <c r="B521" s="12"/>
      <c r="C521" s="14"/>
    </row>
    <row r="522" spans="1:5">
      <c r="A522" s="13"/>
      <c r="B522" s="12"/>
      <c r="C522" s="14"/>
    </row>
    <row r="523" spans="1:5">
      <c r="A523" s="13"/>
      <c r="B523" s="12"/>
      <c r="C523" s="14"/>
    </row>
    <row r="524" spans="1:5">
      <c r="A524" s="14"/>
      <c r="B524" s="12"/>
      <c r="C524" s="14"/>
    </row>
    <row r="525" spans="1:5">
      <c r="A525" s="14"/>
      <c r="B525" s="12">
        <f>SUM(B468:B524)</f>
        <v>363691</v>
      </c>
      <c r="C525" s="12">
        <f>+B525/29</f>
        <v>12541.068965517241</v>
      </c>
      <c r="D525" s="11">
        <f>SUM(D472:D524)</f>
        <v>22565</v>
      </c>
      <c r="E525" s="11">
        <f>SUM(E472:E524)</f>
        <v>11278</v>
      </c>
    </row>
    <row r="578" spans="1:3">
      <c r="A578" s="13"/>
      <c r="B578" s="12"/>
      <c r="C578" s="14"/>
    </row>
    <row r="579" spans="1:3">
      <c r="A579" s="14"/>
      <c r="B579" s="12"/>
      <c r="C579" s="14"/>
    </row>
    <row r="580" spans="1:3">
      <c r="A580" s="14"/>
    </row>
  </sheetData>
  <sortState ref="A50:C90">
    <sortCondition ref="A50:A90"/>
  </sortState>
  <mergeCells count="5">
    <mergeCell ref="A1:C1"/>
    <mergeCell ref="A155:C155"/>
    <mergeCell ref="G3:H3"/>
    <mergeCell ref="A48:C48"/>
    <mergeCell ref="A102:C102"/>
  </mergeCells>
  <pageMargins left="0.7" right="0.7" top="0.75" bottom="0.75" header="0.511811023622047" footer="0.511811023622047"/>
  <pageSetup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7"/>
  <sheetViews>
    <sheetView workbookViewId="0">
      <selection activeCell="B6" sqref="B6"/>
    </sheetView>
  </sheetViews>
  <sheetFormatPr baseColWidth="10" defaultRowHeight="14.5"/>
  <cols>
    <col min="1" max="1" width="6.90625" bestFit="1" customWidth="1"/>
    <col min="2" max="2" width="13.36328125" customWidth="1"/>
    <col min="3" max="3" width="15.26953125" bestFit="1" customWidth="1"/>
    <col min="4" max="4" width="12.26953125" bestFit="1" customWidth="1"/>
    <col min="5" max="5" width="8.08984375" bestFit="1" customWidth="1"/>
    <col min="6" max="6" width="7.90625" bestFit="1" customWidth="1"/>
    <col min="7" max="7" width="11.453125" bestFit="1" customWidth="1"/>
    <col min="8" max="8" width="6.54296875" bestFit="1" customWidth="1"/>
    <col min="9" max="9" width="9.81640625" bestFit="1" customWidth="1"/>
    <col min="10" max="10" width="12.26953125" bestFit="1" customWidth="1"/>
    <col min="11" max="11" width="10.1796875" bestFit="1" customWidth="1"/>
    <col min="12" max="12" width="11.26953125" bestFit="1" customWidth="1"/>
    <col min="13" max="13" width="12.26953125" bestFit="1" customWidth="1"/>
    <col min="14" max="14" width="9.26953125" bestFit="1" customWidth="1"/>
    <col min="15" max="15" width="17.54296875" bestFit="1" customWidth="1"/>
  </cols>
  <sheetData>
    <row r="3" spans="1:15" s="166" customFormat="1" ht="31">
      <c r="A3" s="164" t="s">
        <v>930</v>
      </c>
      <c r="B3" s="164" t="s">
        <v>944</v>
      </c>
      <c r="C3" s="164" t="s">
        <v>931</v>
      </c>
      <c r="D3" s="164" t="s">
        <v>932</v>
      </c>
      <c r="E3" s="164" t="s">
        <v>933</v>
      </c>
      <c r="F3" s="164" t="s">
        <v>934</v>
      </c>
      <c r="G3" s="164" t="s">
        <v>935</v>
      </c>
      <c r="H3" s="164" t="s">
        <v>936</v>
      </c>
      <c r="I3" s="164" t="s">
        <v>942</v>
      </c>
      <c r="J3" s="164" t="s">
        <v>937</v>
      </c>
      <c r="K3" s="165" t="s">
        <v>938</v>
      </c>
      <c r="L3" s="165" t="s">
        <v>939</v>
      </c>
      <c r="M3" s="164" t="s">
        <v>940</v>
      </c>
      <c r="N3" s="164" t="s">
        <v>941</v>
      </c>
    </row>
    <row r="4" spans="1:15" ht="29">
      <c r="A4" s="43">
        <v>50</v>
      </c>
      <c r="B4" s="167" t="s">
        <v>945</v>
      </c>
      <c r="C4" s="154">
        <v>0.8</v>
      </c>
      <c r="D4" s="163">
        <v>6500000</v>
      </c>
      <c r="E4" s="43">
        <f>+A4*628*C4</f>
        <v>25120</v>
      </c>
      <c r="F4" s="43">
        <v>400</v>
      </c>
      <c r="G4" s="163">
        <f>+E4/F4</f>
        <v>62.8</v>
      </c>
      <c r="H4" s="43">
        <v>1500</v>
      </c>
      <c r="I4" s="163">
        <f>+F4*H4</f>
        <v>600000</v>
      </c>
      <c r="J4" s="163">
        <f>+H4*E4</f>
        <v>37680000</v>
      </c>
      <c r="K4" s="163">
        <f>+G4*12000</f>
        <v>753600</v>
      </c>
      <c r="L4" s="163">
        <f>+D4*30/100</f>
        <v>1950000</v>
      </c>
      <c r="M4" s="163">
        <f>+J4-D4-L4-K4</f>
        <v>28476400</v>
      </c>
      <c r="N4" s="163">
        <f>+M4/D4*100</f>
        <v>438.09846153846149</v>
      </c>
      <c r="O4" t="s">
        <v>943</v>
      </c>
    </row>
    <row r="5" spans="1:15" ht="29">
      <c r="A5" s="43">
        <v>10</v>
      </c>
      <c r="B5" s="167" t="s">
        <v>946</v>
      </c>
      <c r="C5" s="154">
        <v>0.8</v>
      </c>
      <c r="D5" s="163">
        <v>12000000</v>
      </c>
      <c r="E5" s="43">
        <f>+A5*628*C5</f>
        <v>5024</v>
      </c>
      <c r="F5" s="43">
        <v>300</v>
      </c>
      <c r="G5" s="163">
        <f>+E5/F5</f>
        <v>16.746666666666666</v>
      </c>
      <c r="H5" s="43">
        <v>3000</v>
      </c>
      <c r="I5" s="163">
        <f>+F5*H5</f>
        <v>900000</v>
      </c>
      <c r="J5" s="163">
        <f>+H5*E5</f>
        <v>15072000</v>
      </c>
      <c r="K5" s="163">
        <f>+G5*12000</f>
        <v>200960</v>
      </c>
      <c r="L5" s="163">
        <f>+D5*15/100</f>
        <v>1800000</v>
      </c>
      <c r="M5" s="163">
        <f>+J5-D5-L5-K5</f>
        <v>1071040</v>
      </c>
      <c r="N5" s="163">
        <f>+M5/D5*100</f>
        <v>8.9253333333333345</v>
      </c>
    </row>
    <row r="6" spans="1:15">
      <c r="A6" s="43">
        <v>50</v>
      </c>
      <c r="B6" s="167"/>
      <c r="C6" s="154">
        <v>0.8</v>
      </c>
      <c r="D6" s="163">
        <v>6500000</v>
      </c>
      <c r="E6" s="43">
        <f>+A6*628*C6</f>
        <v>25120</v>
      </c>
      <c r="F6" s="43">
        <v>400</v>
      </c>
      <c r="G6" s="163">
        <f>+E6/F6</f>
        <v>62.8</v>
      </c>
      <c r="H6" s="43">
        <v>1500</v>
      </c>
      <c r="I6" s="163">
        <f>+F6*H6</f>
        <v>600000</v>
      </c>
      <c r="J6" s="163">
        <f>+H6*E6</f>
        <v>37680000</v>
      </c>
      <c r="K6" s="163">
        <f>+G6*12000</f>
        <v>753600</v>
      </c>
      <c r="L6" s="163">
        <f>+D6*30/100</f>
        <v>1950000</v>
      </c>
      <c r="M6" s="163">
        <f>+J6-D6-L6-K6</f>
        <v>28476400</v>
      </c>
      <c r="N6" s="163">
        <f>+M6/D6*100</f>
        <v>438.09846153846149</v>
      </c>
    </row>
    <row r="7" spans="1:15">
      <c r="A7" s="14"/>
      <c r="B7" s="168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5">
      <c r="A8" s="14"/>
      <c r="B8" s="168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5">
      <c r="A9" s="14"/>
      <c r="B9" s="168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</row>
    <row r="10" spans="1:15">
      <c r="A10" s="14"/>
      <c r="B10" s="168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</row>
    <row r="11" spans="1:15">
      <c r="A11" s="14"/>
      <c r="B11" s="168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</row>
    <row r="12" spans="1:15">
      <c r="A12" s="14"/>
      <c r="B12" s="168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</row>
    <row r="13" spans="1:15">
      <c r="A13" s="14"/>
      <c r="B13" s="168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</row>
    <row r="14" spans="1:15">
      <c r="A14" s="14"/>
      <c r="B14" s="168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</row>
    <row r="15" spans="1:15">
      <c r="A15" s="14"/>
      <c r="B15" s="168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</row>
    <row r="16" spans="1:15">
      <c r="B16" s="169"/>
    </row>
    <row r="17" spans="2:2">
      <c r="B17" s="169"/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0"/>
  <sheetViews>
    <sheetView topLeftCell="A32" workbookViewId="0">
      <selection activeCell="I50" sqref="I50"/>
    </sheetView>
  </sheetViews>
  <sheetFormatPr baseColWidth="10" defaultRowHeight="14.5"/>
  <cols>
    <col min="1" max="1" width="11.26953125" bestFit="1" customWidth="1"/>
    <col min="2" max="2" width="13.81640625" customWidth="1"/>
    <col min="4" max="4" width="16.7265625" customWidth="1"/>
  </cols>
  <sheetData>
    <row r="1" spans="1:5">
      <c r="A1" s="211" t="s">
        <v>872</v>
      </c>
      <c r="B1" s="211"/>
      <c r="C1" s="211"/>
      <c r="D1" s="211"/>
    </row>
    <row r="2" spans="1:5">
      <c r="A2" s="140" t="s">
        <v>1</v>
      </c>
      <c r="B2" s="140" t="s">
        <v>2</v>
      </c>
      <c r="C2" s="140" t="s">
        <v>862</v>
      </c>
      <c r="D2" s="140" t="s">
        <v>863</v>
      </c>
    </row>
    <row r="3" spans="1:5">
      <c r="A3" s="13">
        <v>45827</v>
      </c>
      <c r="B3" s="12">
        <v>1540000</v>
      </c>
      <c r="C3" s="14" t="s">
        <v>864</v>
      </c>
      <c r="D3" s="12">
        <v>1540000</v>
      </c>
    </row>
    <row r="4" spans="1:5">
      <c r="A4" s="13">
        <v>45827</v>
      </c>
      <c r="B4" s="12">
        <v>50000</v>
      </c>
      <c r="C4" s="14" t="s">
        <v>871</v>
      </c>
      <c r="D4" s="12">
        <f>+D3-B4</f>
        <v>1490000</v>
      </c>
    </row>
    <row r="5" spans="1:5">
      <c r="A5" s="13"/>
      <c r="B5" s="12"/>
      <c r="C5" s="14"/>
      <c r="D5" s="12">
        <f t="shared" ref="D5:D28" si="0">+D4-B5</f>
        <v>1490000</v>
      </c>
      <c r="E5" t="s">
        <v>870</v>
      </c>
    </row>
    <row r="6" spans="1:5">
      <c r="A6" s="14"/>
      <c r="B6" s="12"/>
      <c r="C6" s="14"/>
      <c r="D6" s="12">
        <f t="shared" si="0"/>
        <v>1490000</v>
      </c>
    </row>
    <row r="7" spans="1:5">
      <c r="A7" s="14"/>
      <c r="B7" s="12"/>
      <c r="C7" s="14"/>
      <c r="D7" s="12">
        <f t="shared" si="0"/>
        <v>1490000</v>
      </c>
    </row>
    <row r="8" spans="1:5">
      <c r="A8" s="14"/>
      <c r="B8" s="12"/>
      <c r="C8" s="14"/>
      <c r="D8" s="12">
        <f t="shared" si="0"/>
        <v>1490000</v>
      </c>
    </row>
    <row r="9" spans="1:5">
      <c r="A9" s="14"/>
      <c r="B9" s="12"/>
      <c r="C9" s="14"/>
      <c r="D9" s="12">
        <f t="shared" si="0"/>
        <v>1490000</v>
      </c>
    </row>
    <row r="10" spans="1:5">
      <c r="A10" s="14"/>
      <c r="B10" s="12"/>
      <c r="C10" s="14"/>
      <c r="D10" s="12">
        <f t="shared" si="0"/>
        <v>1490000</v>
      </c>
    </row>
    <row r="11" spans="1:5">
      <c r="A11" s="14"/>
      <c r="B11" s="12"/>
      <c r="C11" s="14"/>
      <c r="D11" s="12">
        <f t="shared" si="0"/>
        <v>1490000</v>
      </c>
    </row>
    <row r="12" spans="1:5">
      <c r="A12" s="14"/>
      <c r="B12" s="12"/>
      <c r="C12" s="14"/>
      <c r="D12" s="12">
        <f t="shared" si="0"/>
        <v>1490000</v>
      </c>
    </row>
    <row r="13" spans="1:5">
      <c r="A13" s="14"/>
      <c r="B13" s="12"/>
      <c r="C13" s="14"/>
      <c r="D13" s="12">
        <f t="shared" si="0"/>
        <v>1490000</v>
      </c>
    </row>
    <row r="14" spans="1:5">
      <c r="A14" s="14"/>
      <c r="B14" s="12"/>
      <c r="C14" s="14"/>
      <c r="D14" s="12">
        <f t="shared" si="0"/>
        <v>1490000</v>
      </c>
    </row>
    <row r="15" spans="1:5">
      <c r="A15" s="14"/>
      <c r="B15" s="12"/>
      <c r="C15" s="14"/>
      <c r="D15" s="12">
        <f t="shared" si="0"/>
        <v>1490000</v>
      </c>
    </row>
    <row r="16" spans="1:5">
      <c r="A16" s="14"/>
      <c r="B16" s="12"/>
      <c r="C16" s="14"/>
      <c r="D16" s="12">
        <f t="shared" si="0"/>
        <v>1490000</v>
      </c>
    </row>
    <row r="17" spans="1:4">
      <c r="A17" s="14"/>
      <c r="B17" s="12"/>
      <c r="C17" s="14"/>
      <c r="D17" s="12">
        <f t="shared" si="0"/>
        <v>1490000</v>
      </c>
    </row>
    <row r="18" spans="1:4">
      <c r="A18" s="14"/>
      <c r="B18" s="12"/>
      <c r="C18" s="14"/>
      <c r="D18" s="12">
        <f t="shared" si="0"/>
        <v>1490000</v>
      </c>
    </row>
    <row r="19" spans="1:4">
      <c r="A19" s="14"/>
      <c r="B19" s="12"/>
      <c r="C19" s="14"/>
      <c r="D19" s="12">
        <f t="shared" si="0"/>
        <v>1490000</v>
      </c>
    </row>
    <row r="20" spans="1:4">
      <c r="A20" s="14"/>
      <c r="B20" s="12"/>
      <c r="C20" s="14"/>
      <c r="D20" s="12">
        <f t="shared" si="0"/>
        <v>1490000</v>
      </c>
    </row>
    <row r="21" spans="1:4">
      <c r="A21" s="14"/>
      <c r="B21" s="12"/>
      <c r="C21" s="14"/>
      <c r="D21" s="12">
        <f t="shared" si="0"/>
        <v>1490000</v>
      </c>
    </row>
    <row r="22" spans="1:4">
      <c r="A22" s="14"/>
      <c r="B22" s="12"/>
      <c r="C22" s="14"/>
      <c r="D22" s="12">
        <f t="shared" si="0"/>
        <v>1490000</v>
      </c>
    </row>
    <row r="23" spans="1:4">
      <c r="A23" s="14"/>
      <c r="B23" s="12"/>
      <c r="C23" s="14"/>
      <c r="D23" s="12">
        <f t="shared" si="0"/>
        <v>1490000</v>
      </c>
    </row>
    <row r="24" spans="1:4">
      <c r="A24" s="14"/>
      <c r="B24" s="12"/>
      <c r="C24" s="14"/>
      <c r="D24" s="12">
        <f t="shared" si="0"/>
        <v>1490000</v>
      </c>
    </row>
    <row r="25" spans="1:4">
      <c r="B25" s="12"/>
      <c r="D25" s="12">
        <f t="shared" si="0"/>
        <v>1490000</v>
      </c>
    </row>
    <row r="26" spans="1:4">
      <c r="B26" s="12"/>
      <c r="D26" s="12">
        <f t="shared" si="0"/>
        <v>1490000</v>
      </c>
    </row>
    <row r="27" spans="1:4">
      <c r="B27" s="12"/>
      <c r="D27" s="12">
        <f t="shared" si="0"/>
        <v>1490000</v>
      </c>
    </row>
    <row r="28" spans="1:4">
      <c r="D28" s="12">
        <f t="shared" si="0"/>
        <v>1490000</v>
      </c>
    </row>
    <row r="29" spans="1:4">
      <c r="D29" s="12"/>
    </row>
    <row r="33" spans="1:13">
      <c r="E33" s="37"/>
      <c r="F33" s="37"/>
    </row>
    <row r="34" spans="1:13">
      <c r="A34" s="148"/>
      <c r="B34" s="148"/>
      <c r="C34" s="148"/>
      <c r="D34" s="148"/>
      <c r="E34" s="43"/>
      <c r="F34" s="43"/>
    </row>
    <row r="35" spans="1:13">
      <c r="A35" s="204" t="s">
        <v>886</v>
      </c>
      <c r="B35" s="205"/>
      <c r="C35" s="205"/>
      <c r="D35" s="205"/>
      <c r="E35" s="205"/>
      <c r="F35" s="206"/>
      <c r="G35" s="155">
        <f>PMT(+E38/12, +C37, -A37)</f>
        <v>15357.045560595881</v>
      </c>
    </row>
    <row r="36" spans="1:13">
      <c r="A36" s="43" t="s">
        <v>874</v>
      </c>
      <c r="C36" s="43" t="s">
        <v>875</v>
      </c>
      <c r="D36" s="43"/>
      <c r="E36" s="43"/>
      <c r="F36" s="43"/>
      <c r="L36">
        <f>29*1.6</f>
        <v>46.400000000000006</v>
      </c>
    </row>
    <row r="37" spans="1:13">
      <c r="A37" s="148">
        <v>660000</v>
      </c>
      <c r="C37" s="43">
        <v>60</v>
      </c>
      <c r="D37" s="43"/>
      <c r="E37" s="43"/>
      <c r="F37" s="43"/>
    </row>
    <row r="38" spans="1:13">
      <c r="A38" s="43"/>
      <c r="B38" s="43"/>
      <c r="C38" s="43"/>
      <c r="D38" s="43"/>
      <c r="E38" s="154">
        <v>0.14000000000000001</v>
      </c>
      <c r="F38" s="43"/>
    </row>
    <row r="39" spans="1:13">
      <c r="A39" s="151" t="s">
        <v>876</v>
      </c>
      <c r="B39" s="151" t="s">
        <v>877</v>
      </c>
      <c r="C39" s="151" t="s">
        <v>878</v>
      </c>
      <c r="D39" s="151" t="s">
        <v>879</v>
      </c>
      <c r="E39" s="151" t="s">
        <v>880</v>
      </c>
      <c r="F39" s="151" t="s">
        <v>875</v>
      </c>
      <c r="G39" s="151" t="s">
        <v>948</v>
      </c>
      <c r="H39" s="151" t="s">
        <v>949</v>
      </c>
    </row>
    <row r="40" spans="1:13">
      <c r="A40" s="148">
        <f>+G35</f>
        <v>15357.045560595881</v>
      </c>
      <c r="B40" s="148">
        <f>+A37*E38/12</f>
        <v>7700.0000000000009</v>
      </c>
      <c r="C40" s="148">
        <f>+A40-B40</f>
        <v>7657.0455605958805</v>
      </c>
      <c r="D40" s="148">
        <f>+A37-C40</f>
        <v>652342.95443940407</v>
      </c>
      <c r="E40" s="43">
        <f>+E38</f>
        <v>0.14000000000000001</v>
      </c>
      <c r="F40" s="43">
        <f>+C37</f>
        <v>60</v>
      </c>
      <c r="G40" s="13">
        <v>45916</v>
      </c>
      <c r="H40" s="14" t="s">
        <v>951</v>
      </c>
    </row>
    <row r="41" spans="1:13">
      <c r="A41" s="148">
        <f>+A40</f>
        <v>15357.045560595881</v>
      </c>
      <c r="B41" s="148">
        <f>+D40*E40/12</f>
        <v>7610.667801793049</v>
      </c>
      <c r="C41" s="148">
        <f t="shared" ref="C41:C76" si="1">+A41-B41</f>
        <v>7746.3777588028324</v>
      </c>
      <c r="D41" s="148">
        <f>+D40-C41</f>
        <v>644596.57668060123</v>
      </c>
      <c r="E41" s="43">
        <f t="shared" ref="E41:E100" si="2">+E40</f>
        <v>0.14000000000000001</v>
      </c>
      <c r="F41" s="43">
        <f t="shared" ref="F41:F100" si="3">+F40-1</f>
        <v>59</v>
      </c>
      <c r="G41" s="13">
        <v>45946</v>
      </c>
      <c r="H41" s="14" t="s">
        <v>951</v>
      </c>
      <c r="J41" t="s">
        <v>1019</v>
      </c>
      <c r="K41">
        <v>33870</v>
      </c>
    </row>
    <row r="42" spans="1:13">
      <c r="A42" s="148">
        <f>+A41</f>
        <v>15357.045560595881</v>
      </c>
      <c r="B42" s="148">
        <f t="shared" ref="B42:B76" si="4">+D41*E41/12</f>
        <v>7520.2933946070152</v>
      </c>
      <c r="C42" s="148">
        <f t="shared" si="1"/>
        <v>7836.7521659888662</v>
      </c>
      <c r="D42" s="148">
        <f t="shared" ref="D42:D76" si="5">+D41-C42</f>
        <v>636759.82451461232</v>
      </c>
      <c r="E42" s="43">
        <f t="shared" si="2"/>
        <v>0.14000000000000001</v>
      </c>
      <c r="F42" s="43">
        <f t="shared" si="3"/>
        <v>58</v>
      </c>
      <c r="G42" s="13">
        <v>45977</v>
      </c>
      <c r="H42" s="14" t="s">
        <v>951</v>
      </c>
      <c r="J42" t="s">
        <v>1020</v>
      </c>
      <c r="K42">
        <v>34480</v>
      </c>
      <c r="L42">
        <v>13.090999999999999</v>
      </c>
      <c r="M42">
        <f>+(K42-K41)/L42</f>
        <v>46.59689863264839</v>
      </c>
    </row>
    <row r="43" spans="1:13">
      <c r="A43" s="148">
        <f t="shared" ref="A43:A100" si="6">+A42</f>
        <v>15357.045560595881</v>
      </c>
      <c r="B43" s="148">
        <f t="shared" si="4"/>
        <v>7428.8646193371451</v>
      </c>
      <c r="C43" s="148">
        <f t="shared" si="1"/>
        <v>7928.1809412587363</v>
      </c>
      <c r="D43" s="148">
        <f t="shared" si="5"/>
        <v>628831.64357335353</v>
      </c>
      <c r="E43" s="43">
        <f t="shared" si="2"/>
        <v>0.14000000000000001</v>
      </c>
      <c r="F43" s="43">
        <f t="shared" si="3"/>
        <v>57</v>
      </c>
      <c r="G43" s="14"/>
      <c r="H43" s="14"/>
      <c r="J43" t="s">
        <v>1021</v>
      </c>
      <c r="K43">
        <v>35045</v>
      </c>
      <c r="L43">
        <v>12.5</v>
      </c>
      <c r="M43">
        <f>+(K43-K42)/L43</f>
        <v>45.2</v>
      </c>
    </row>
    <row r="44" spans="1:13">
      <c r="A44" s="148">
        <f t="shared" si="6"/>
        <v>15357.045560595881</v>
      </c>
      <c r="B44" s="148">
        <f t="shared" si="4"/>
        <v>7336.369175022458</v>
      </c>
      <c r="C44" s="148">
        <f t="shared" si="1"/>
        <v>8020.6763855734234</v>
      </c>
      <c r="D44" s="148">
        <f t="shared" si="5"/>
        <v>620810.96718778007</v>
      </c>
      <c r="E44" s="43">
        <f t="shared" si="2"/>
        <v>0.14000000000000001</v>
      </c>
      <c r="F44" s="43">
        <f t="shared" si="3"/>
        <v>56</v>
      </c>
      <c r="G44" s="14"/>
      <c r="H44" s="14"/>
      <c r="K44">
        <v>35653</v>
      </c>
      <c r="L44">
        <v>12.63</v>
      </c>
      <c r="M44">
        <f>+(K44-K43)/L44</f>
        <v>48.13935075217735</v>
      </c>
    </row>
    <row r="45" spans="1:13">
      <c r="A45" s="148">
        <f t="shared" si="6"/>
        <v>15357.045560595881</v>
      </c>
      <c r="B45" s="148">
        <f t="shared" si="4"/>
        <v>7242.7946171907679</v>
      </c>
      <c r="C45" s="148">
        <f t="shared" si="1"/>
        <v>8114.2509434051135</v>
      </c>
      <c r="D45" s="148">
        <f t="shared" si="5"/>
        <v>612696.71624437498</v>
      </c>
      <c r="E45" s="43">
        <f t="shared" si="2"/>
        <v>0.14000000000000001</v>
      </c>
      <c r="F45" s="43">
        <f t="shared" si="3"/>
        <v>55</v>
      </c>
      <c r="G45" s="14"/>
      <c r="H45" s="14"/>
    </row>
    <row r="46" spans="1:13">
      <c r="A46" s="148">
        <f t="shared" si="6"/>
        <v>15357.045560595881</v>
      </c>
      <c r="B46" s="148">
        <f t="shared" si="4"/>
        <v>7148.1283561843748</v>
      </c>
      <c r="C46" s="148">
        <f t="shared" si="1"/>
        <v>8208.9172044115076</v>
      </c>
      <c r="D46" s="148">
        <f t="shared" si="5"/>
        <v>604487.79903996352</v>
      </c>
      <c r="E46" s="43">
        <f t="shared" si="2"/>
        <v>0.14000000000000001</v>
      </c>
      <c r="F46" s="43">
        <f t="shared" si="3"/>
        <v>54</v>
      </c>
      <c r="G46" s="14"/>
      <c r="H46" s="14"/>
      <c r="L46">
        <f>SUM(L42:L45)</f>
        <v>38.221000000000004</v>
      </c>
      <c r="M46">
        <f>+(K44-K41)/L46</f>
        <v>46.649747520996307</v>
      </c>
    </row>
    <row r="47" spans="1:13">
      <c r="A47" s="148">
        <f t="shared" si="6"/>
        <v>15357.045560595881</v>
      </c>
      <c r="B47" s="148">
        <f t="shared" si="4"/>
        <v>7052.3576554662422</v>
      </c>
      <c r="C47" s="148">
        <f t="shared" si="1"/>
        <v>8304.6879051296382</v>
      </c>
      <c r="D47" s="148">
        <f t="shared" si="5"/>
        <v>596183.11113483389</v>
      </c>
      <c r="E47" s="43">
        <f t="shared" si="2"/>
        <v>0.14000000000000001</v>
      </c>
      <c r="F47" s="43">
        <f t="shared" si="3"/>
        <v>53</v>
      </c>
      <c r="G47" s="14"/>
      <c r="H47" s="14"/>
    </row>
    <row r="48" spans="1:13">
      <c r="A48" s="148">
        <f t="shared" si="6"/>
        <v>15357.045560595881</v>
      </c>
      <c r="B48" s="148">
        <f t="shared" si="4"/>
        <v>6955.4696299063953</v>
      </c>
      <c r="C48" s="148">
        <f t="shared" si="1"/>
        <v>8401.575930689487</v>
      </c>
      <c r="D48" s="148">
        <f t="shared" si="5"/>
        <v>587781.53520414443</v>
      </c>
      <c r="E48" s="43">
        <f t="shared" si="2"/>
        <v>0.14000000000000001</v>
      </c>
      <c r="F48" s="43">
        <f t="shared" si="3"/>
        <v>52</v>
      </c>
      <c r="G48" s="14"/>
      <c r="H48" s="14"/>
    </row>
    <row r="49" spans="1:9">
      <c r="A49" s="148">
        <f t="shared" si="6"/>
        <v>15357.045560595881</v>
      </c>
      <c r="B49" s="148">
        <f t="shared" si="4"/>
        <v>6857.4512440483522</v>
      </c>
      <c r="C49" s="148">
        <f t="shared" si="1"/>
        <v>8499.5943165475292</v>
      </c>
      <c r="D49" s="148">
        <f t="shared" si="5"/>
        <v>579281.94088759692</v>
      </c>
      <c r="E49" s="43">
        <f t="shared" si="2"/>
        <v>0.14000000000000001</v>
      </c>
      <c r="F49" s="43">
        <f t="shared" si="3"/>
        <v>51</v>
      </c>
      <c r="G49" s="14"/>
      <c r="H49" s="14"/>
    </row>
    <row r="50" spans="1:9">
      <c r="A50" s="148">
        <f t="shared" si="6"/>
        <v>15357.045560595881</v>
      </c>
      <c r="B50" s="148">
        <f t="shared" si="4"/>
        <v>6758.2893103552988</v>
      </c>
      <c r="C50" s="148">
        <f t="shared" si="1"/>
        <v>8598.7562502405817</v>
      </c>
      <c r="D50" s="148">
        <f t="shared" si="5"/>
        <v>570683.18463735632</v>
      </c>
      <c r="E50" s="43">
        <f t="shared" si="2"/>
        <v>0.14000000000000001</v>
      </c>
      <c r="F50" s="43">
        <f t="shared" si="3"/>
        <v>50</v>
      </c>
      <c r="G50" s="14"/>
      <c r="H50" s="14"/>
      <c r="I50" s="183"/>
    </row>
    <row r="51" spans="1:9">
      <c r="A51" s="148">
        <f t="shared" si="6"/>
        <v>15357.045560595881</v>
      </c>
      <c r="B51" s="148">
        <f t="shared" si="4"/>
        <v>6657.9704874358249</v>
      </c>
      <c r="C51" s="148">
        <f t="shared" si="1"/>
        <v>8699.0750731600565</v>
      </c>
      <c r="D51" s="148">
        <f t="shared" si="5"/>
        <v>561984.10956419632</v>
      </c>
      <c r="E51" s="43">
        <f t="shared" si="2"/>
        <v>0.14000000000000001</v>
      </c>
      <c r="F51" s="43">
        <f t="shared" si="3"/>
        <v>49</v>
      </c>
      <c r="G51" s="14"/>
      <c r="H51" s="14"/>
    </row>
    <row r="52" spans="1:9">
      <c r="A52" s="148">
        <f t="shared" si="6"/>
        <v>15357.045560595881</v>
      </c>
      <c r="B52" s="148">
        <f t="shared" si="4"/>
        <v>6556.4812782489571</v>
      </c>
      <c r="C52" s="148">
        <f t="shared" si="1"/>
        <v>8800.5642823469243</v>
      </c>
      <c r="D52" s="148">
        <f t="shared" si="5"/>
        <v>553183.54528184934</v>
      </c>
      <c r="E52" s="43">
        <f t="shared" si="2"/>
        <v>0.14000000000000001</v>
      </c>
      <c r="F52" s="43">
        <f t="shared" si="3"/>
        <v>48</v>
      </c>
      <c r="G52" s="170"/>
      <c r="H52" s="148"/>
    </row>
    <row r="53" spans="1:9">
      <c r="A53" s="148">
        <f t="shared" si="6"/>
        <v>15357.045560595881</v>
      </c>
      <c r="B53" s="148">
        <f t="shared" si="4"/>
        <v>6453.8080282882429</v>
      </c>
      <c r="C53" s="148">
        <f t="shared" si="1"/>
        <v>8903.2375323076376</v>
      </c>
      <c r="D53" s="148">
        <f t="shared" si="5"/>
        <v>544280.30774954171</v>
      </c>
      <c r="E53" s="43">
        <f t="shared" si="2"/>
        <v>0.14000000000000001</v>
      </c>
      <c r="F53" s="43">
        <f t="shared" si="3"/>
        <v>47</v>
      </c>
      <c r="G53" s="170"/>
      <c r="H53" s="148"/>
    </row>
    <row r="54" spans="1:9">
      <c r="A54" s="148">
        <f t="shared" si="6"/>
        <v>15357.045560595881</v>
      </c>
      <c r="B54" s="148">
        <f t="shared" si="4"/>
        <v>6349.9369237446545</v>
      </c>
      <c r="C54" s="148">
        <f t="shared" si="1"/>
        <v>9007.108636851226</v>
      </c>
      <c r="D54" s="148">
        <f t="shared" si="5"/>
        <v>535273.19911269052</v>
      </c>
      <c r="E54" s="43">
        <f t="shared" si="2"/>
        <v>0.14000000000000001</v>
      </c>
      <c r="F54" s="43">
        <f t="shared" si="3"/>
        <v>46</v>
      </c>
      <c r="G54" s="170"/>
      <c r="H54" s="148"/>
    </row>
    <row r="55" spans="1:9">
      <c r="A55" s="148">
        <f t="shared" si="6"/>
        <v>15357.045560595881</v>
      </c>
      <c r="B55" s="148">
        <f t="shared" si="4"/>
        <v>6244.853989648057</v>
      </c>
      <c r="C55" s="148">
        <f t="shared" si="1"/>
        <v>9112.1915709478235</v>
      </c>
      <c r="D55" s="148">
        <f t="shared" si="5"/>
        <v>526161.00754174264</v>
      </c>
      <c r="E55" s="43">
        <f t="shared" si="2"/>
        <v>0.14000000000000001</v>
      </c>
      <c r="F55" s="43">
        <f t="shared" si="3"/>
        <v>45</v>
      </c>
      <c r="G55" s="14"/>
      <c r="H55" s="14"/>
    </row>
    <row r="56" spans="1:9">
      <c r="A56" s="148">
        <f t="shared" si="6"/>
        <v>15357.045560595881</v>
      </c>
      <c r="B56" s="148">
        <f t="shared" si="4"/>
        <v>6138.5450879869977</v>
      </c>
      <c r="C56" s="148">
        <f t="shared" si="1"/>
        <v>9218.5004726088846</v>
      </c>
      <c r="D56" s="148">
        <f t="shared" si="5"/>
        <v>516942.50706913375</v>
      </c>
      <c r="E56" s="43">
        <f t="shared" si="2"/>
        <v>0.14000000000000001</v>
      </c>
      <c r="F56" s="43">
        <f t="shared" si="3"/>
        <v>44</v>
      </c>
      <c r="G56" s="14"/>
      <c r="H56" s="14"/>
    </row>
    <row r="57" spans="1:9">
      <c r="A57" s="148">
        <f t="shared" si="6"/>
        <v>15357.045560595881</v>
      </c>
      <c r="B57" s="148">
        <f t="shared" si="4"/>
        <v>6030.9959158065612</v>
      </c>
      <c r="C57" s="148">
        <f t="shared" si="1"/>
        <v>9326.0496447893202</v>
      </c>
      <c r="D57" s="148">
        <f t="shared" si="5"/>
        <v>507616.45742434444</v>
      </c>
      <c r="E57" s="43">
        <f t="shared" si="2"/>
        <v>0.14000000000000001</v>
      </c>
      <c r="F57" s="43">
        <f t="shared" si="3"/>
        <v>43</v>
      </c>
      <c r="G57" s="14"/>
      <c r="H57" s="14"/>
    </row>
    <row r="58" spans="1:9">
      <c r="A58" s="148">
        <f t="shared" si="6"/>
        <v>15357.045560595881</v>
      </c>
      <c r="B58" s="148">
        <f t="shared" si="4"/>
        <v>5922.1920032840198</v>
      </c>
      <c r="C58" s="148">
        <f t="shared" si="1"/>
        <v>9434.8535573118606</v>
      </c>
      <c r="D58" s="148">
        <f t="shared" si="5"/>
        <v>498181.60386703257</v>
      </c>
      <c r="E58" s="43">
        <f t="shared" si="2"/>
        <v>0.14000000000000001</v>
      </c>
      <c r="F58" s="43">
        <f t="shared" si="3"/>
        <v>42</v>
      </c>
      <c r="G58" s="14"/>
      <c r="H58" s="14"/>
    </row>
    <row r="59" spans="1:9">
      <c r="A59" s="148">
        <f t="shared" si="6"/>
        <v>15357.045560595881</v>
      </c>
      <c r="B59" s="148">
        <f t="shared" si="4"/>
        <v>5812.1187117820473</v>
      </c>
      <c r="C59" s="148">
        <f t="shared" si="1"/>
        <v>9544.9268488138332</v>
      </c>
      <c r="D59" s="148">
        <f t="shared" si="5"/>
        <v>488636.67701821873</v>
      </c>
      <c r="E59" s="43">
        <f t="shared" si="2"/>
        <v>0.14000000000000001</v>
      </c>
      <c r="F59" s="43">
        <f t="shared" si="3"/>
        <v>41</v>
      </c>
      <c r="G59" s="14"/>
      <c r="H59" s="14"/>
    </row>
    <row r="60" spans="1:9">
      <c r="A60" s="148">
        <f t="shared" si="6"/>
        <v>15357.045560595881</v>
      </c>
      <c r="B60" s="148">
        <f t="shared" si="4"/>
        <v>5700.7612318792189</v>
      </c>
      <c r="C60" s="148">
        <f t="shared" si="1"/>
        <v>9656.2843287166615</v>
      </c>
      <c r="D60" s="148">
        <f t="shared" si="5"/>
        <v>478980.3926895021</v>
      </c>
      <c r="E60" s="43">
        <f t="shared" si="2"/>
        <v>0.14000000000000001</v>
      </c>
      <c r="F60" s="43">
        <f t="shared" si="3"/>
        <v>40</v>
      </c>
      <c r="G60" s="14"/>
      <c r="H60" s="14"/>
    </row>
    <row r="61" spans="1:9">
      <c r="A61" s="148">
        <f t="shared" si="6"/>
        <v>15357.045560595881</v>
      </c>
      <c r="B61" s="148">
        <f t="shared" si="4"/>
        <v>5588.1045813775245</v>
      </c>
      <c r="C61" s="148">
        <f t="shared" si="1"/>
        <v>9768.9409792183578</v>
      </c>
      <c r="D61" s="148">
        <f t="shared" si="5"/>
        <v>469211.45171028376</v>
      </c>
      <c r="E61" s="43">
        <f t="shared" si="2"/>
        <v>0.14000000000000001</v>
      </c>
      <c r="F61" s="43">
        <f t="shared" si="3"/>
        <v>39</v>
      </c>
      <c r="G61" s="14"/>
      <c r="H61" s="14"/>
    </row>
    <row r="62" spans="1:9">
      <c r="A62" s="148">
        <f t="shared" si="6"/>
        <v>15357.045560595881</v>
      </c>
      <c r="B62" s="148">
        <f t="shared" si="4"/>
        <v>5474.1336032866448</v>
      </c>
      <c r="C62" s="148">
        <f t="shared" si="1"/>
        <v>9882.9119573092357</v>
      </c>
      <c r="D62" s="148">
        <f t="shared" si="5"/>
        <v>459328.53975297452</v>
      </c>
      <c r="E62" s="43">
        <f t="shared" si="2"/>
        <v>0.14000000000000001</v>
      </c>
      <c r="F62" s="43">
        <f t="shared" si="3"/>
        <v>38</v>
      </c>
      <c r="G62" s="14"/>
      <c r="H62" s="14"/>
    </row>
    <row r="63" spans="1:9">
      <c r="A63" s="148">
        <f t="shared" si="6"/>
        <v>15357.045560595881</v>
      </c>
      <c r="B63" s="148">
        <f t="shared" si="4"/>
        <v>5358.8329637847028</v>
      </c>
      <c r="C63" s="148">
        <f t="shared" si="1"/>
        <v>9998.2125968111795</v>
      </c>
      <c r="D63" s="148">
        <f t="shared" si="5"/>
        <v>449330.32715616334</v>
      </c>
      <c r="E63" s="43">
        <f t="shared" si="2"/>
        <v>0.14000000000000001</v>
      </c>
      <c r="F63" s="43">
        <f t="shared" si="3"/>
        <v>37</v>
      </c>
      <c r="G63" s="14"/>
      <c r="H63" s="14" t="s">
        <v>107</v>
      </c>
    </row>
    <row r="64" spans="1:9">
      <c r="A64" s="148">
        <f t="shared" si="6"/>
        <v>15357.045560595881</v>
      </c>
      <c r="B64" s="148">
        <f t="shared" si="4"/>
        <v>5242.1871501552396</v>
      </c>
      <c r="C64" s="148">
        <f t="shared" si="1"/>
        <v>10114.858410440642</v>
      </c>
      <c r="D64" s="148">
        <f t="shared" si="5"/>
        <v>439215.46874572273</v>
      </c>
      <c r="E64" s="43">
        <f t="shared" si="2"/>
        <v>0.14000000000000001</v>
      </c>
      <c r="F64" s="43">
        <f t="shared" si="3"/>
        <v>36</v>
      </c>
      <c r="G64" s="14"/>
      <c r="H64" s="14"/>
    </row>
    <row r="65" spans="1:8">
      <c r="A65" s="148">
        <f t="shared" si="6"/>
        <v>15357.045560595881</v>
      </c>
      <c r="B65" s="148">
        <f t="shared" si="4"/>
        <v>5124.1804687000995</v>
      </c>
      <c r="C65" s="148">
        <f t="shared" si="1"/>
        <v>10232.865091895783</v>
      </c>
      <c r="D65" s="148">
        <f t="shared" si="5"/>
        <v>428982.60365382693</v>
      </c>
      <c r="E65" s="43">
        <f t="shared" si="2"/>
        <v>0.14000000000000001</v>
      </c>
      <c r="F65" s="43">
        <f t="shared" si="3"/>
        <v>35</v>
      </c>
      <c r="G65" s="14"/>
      <c r="H65" s="14"/>
    </row>
    <row r="66" spans="1:8">
      <c r="A66" s="148">
        <f t="shared" si="6"/>
        <v>15357.045560595881</v>
      </c>
      <c r="B66" s="148">
        <f t="shared" si="4"/>
        <v>5004.7970426279817</v>
      </c>
      <c r="C66" s="148">
        <f t="shared" si="1"/>
        <v>10352.248517967899</v>
      </c>
      <c r="D66" s="148">
        <f t="shared" si="5"/>
        <v>418630.35513585905</v>
      </c>
      <c r="E66" s="43">
        <f t="shared" si="2"/>
        <v>0.14000000000000001</v>
      </c>
      <c r="F66" s="43">
        <f t="shared" si="3"/>
        <v>34</v>
      </c>
      <c r="G66" s="14"/>
      <c r="H66" s="14"/>
    </row>
    <row r="67" spans="1:8">
      <c r="A67" s="148">
        <f t="shared" si="6"/>
        <v>15357.045560595881</v>
      </c>
      <c r="B67" s="148">
        <f t="shared" si="4"/>
        <v>4884.0208099183556</v>
      </c>
      <c r="C67" s="148">
        <f t="shared" si="1"/>
        <v>10473.024750677527</v>
      </c>
      <c r="D67" s="148">
        <f t="shared" si="5"/>
        <v>408157.33038518153</v>
      </c>
      <c r="E67" s="43">
        <f t="shared" si="2"/>
        <v>0.14000000000000001</v>
      </c>
      <c r="F67" s="43">
        <f t="shared" si="3"/>
        <v>33</v>
      </c>
      <c r="G67" s="14"/>
      <c r="H67" s="14"/>
    </row>
    <row r="68" spans="1:8">
      <c r="A68" s="148">
        <f t="shared" si="6"/>
        <v>15357.045560595881</v>
      </c>
      <c r="B68" s="148">
        <f t="shared" si="4"/>
        <v>4761.8355211604512</v>
      </c>
      <c r="C68" s="148">
        <f t="shared" si="1"/>
        <v>10595.210039435431</v>
      </c>
      <c r="D68" s="148">
        <f t="shared" si="5"/>
        <v>397562.12034574611</v>
      </c>
      <c r="E68" s="43">
        <f t="shared" si="2"/>
        <v>0.14000000000000001</v>
      </c>
      <c r="F68" s="43">
        <f t="shared" si="3"/>
        <v>32</v>
      </c>
      <c r="G68" s="14"/>
      <c r="H68" s="14"/>
    </row>
    <row r="69" spans="1:8">
      <c r="A69" s="148">
        <f t="shared" si="6"/>
        <v>15357.045560595881</v>
      </c>
      <c r="B69" s="148">
        <f t="shared" si="4"/>
        <v>4638.2247373670389</v>
      </c>
      <c r="C69" s="148">
        <f t="shared" si="1"/>
        <v>10718.820823228842</v>
      </c>
      <c r="D69" s="148">
        <f t="shared" si="5"/>
        <v>386843.29952251725</v>
      </c>
      <c r="E69" s="43">
        <f t="shared" si="2"/>
        <v>0.14000000000000001</v>
      </c>
      <c r="F69" s="43">
        <f t="shared" si="3"/>
        <v>31</v>
      </c>
      <c r="G69" s="14"/>
      <c r="H69" s="14"/>
    </row>
    <row r="70" spans="1:8">
      <c r="A70" s="148">
        <f t="shared" si="6"/>
        <v>15357.045560595881</v>
      </c>
      <c r="B70" s="148">
        <f t="shared" si="4"/>
        <v>4513.1718277627015</v>
      </c>
      <c r="C70" s="148">
        <f t="shared" si="1"/>
        <v>10843.873732833181</v>
      </c>
      <c r="D70" s="148">
        <f t="shared" si="5"/>
        <v>375999.42578968406</v>
      </c>
      <c r="E70" s="43">
        <f t="shared" si="2"/>
        <v>0.14000000000000001</v>
      </c>
      <c r="F70" s="43">
        <f t="shared" si="3"/>
        <v>30</v>
      </c>
      <c r="G70" s="14"/>
      <c r="H70" s="14"/>
    </row>
    <row r="71" spans="1:8">
      <c r="A71" s="148">
        <f t="shared" si="6"/>
        <v>15357.045560595881</v>
      </c>
      <c r="B71" s="148">
        <f t="shared" si="4"/>
        <v>4386.659967546314</v>
      </c>
      <c r="C71" s="148">
        <f t="shared" si="1"/>
        <v>10970.385593049567</v>
      </c>
      <c r="D71" s="148">
        <f t="shared" si="5"/>
        <v>365029.04019663448</v>
      </c>
      <c r="E71" s="43">
        <f t="shared" si="2"/>
        <v>0.14000000000000001</v>
      </c>
      <c r="F71" s="43">
        <f t="shared" si="3"/>
        <v>29</v>
      </c>
      <c r="G71" s="14"/>
      <c r="H71" s="14"/>
    </row>
    <row r="72" spans="1:8">
      <c r="A72" s="148">
        <f t="shared" si="6"/>
        <v>15357.045560595881</v>
      </c>
      <c r="B72" s="148">
        <f t="shared" si="4"/>
        <v>4258.6721356274029</v>
      </c>
      <c r="C72" s="148">
        <f t="shared" si="1"/>
        <v>11098.373424968479</v>
      </c>
      <c r="D72" s="148">
        <f t="shared" si="5"/>
        <v>353930.66677166603</v>
      </c>
      <c r="E72" s="43">
        <f t="shared" si="2"/>
        <v>0.14000000000000001</v>
      </c>
      <c r="F72" s="43">
        <f t="shared" si="3"/>
        <v>28</v>
      </c>
      <c r="G72" s="14"/>
      <c r="H72" s="14"/>
    </row>
    <row r="73" spans="1:8">
      <c r="A73" s="148">
        <f t="shared" si="6"/>
        <v>15357.045560595881</v>
      </c>
      <c r="B73" s="148">
        <f t="shared" si="4"/>
        <v>4129.1911123361042</v>
      </c>
      <c r="C73" s="148">
        <f t="shared" si="1"/>
        <v>11227.854448259777</v>
      </c>
      <c r="D73" s="148">
        <f t="shared" si="5"/>
        <v>342702.81232340628</v>
      </c>
      <c r="E73" s="43">
        <f t="shared" si="2"/>
        <v>0.14000000000000001</v>
      </c>
      <c r="F73" s="43">
        <f t="shared" si="3"/>
        <v>27</v>
      </c>
      <c r="G73" s="14"/>
      <c r="H73" s="14"/>
    </row>
    <row r="74" spans="1:8">
      <c r="A74" s="148">
        <f t="shared" si="6"/>
        <v>15357.045560595881</v>
      </c>
      <c r="B74" s="148">
        <f t="shared" si="4"/>
        <v>3998.1994771064069</v>
      </c>
      <c r="C74" s="148">
        <f t="shared" si="1"/>
        <v>11358.846083489474</v>
      </c>
      <c r="D74" s="148">
        <f t="shared" si="5"/>
        <v>331343.9662399168</v>
      </c>
      <c r="E74" s="43">
        <f t="shared" si="2"/>
        <v>0.14000000000000001</v>
      </c>
      <c r="F74" s="43">
        <f t="shared" si="3"/>
        <v>26</v>
      </c>
      <c r="G74" s="14"/>
      <c r="H74" s="14"/>
    </row>
    <row r="75" spans="1:8">
      <c r="A75" s="148">
        <f t="shared" si="6"/>
        <v>15357.045560595881</v>
      </c>
      <c r="B75" s="148">
        <f t="shared" si="4"/>
        <v>3865.6796061323635</v>
      </c>
      <c r="C75" s="148">
        <f t="shared" si="1"/>
        <v>11491.365954463517</v>
      </c>
      <c r="D75" s="148">
        <f t="shared" si="5"/>
        <v>319852.60028545326</v>
      </c>
      <c r="E75" s="43">
        <f t="shared" si="2"/>
        <v>0.14000000000000001</v>
      </c>
      <c r="F75" s="43">
        <f t="shared" si="3"/>
        <v>25</v>
      </c>
      <c r="G75" s="14"/>
      <c r="H75" s="14"/>
    </row>
    <row r="76" spans="1:8">
      <c r="A76" s="148">
        <f t="shared" si="6"/>
        <v>15357.045560595881</v>
      </c>
      <c r="B76" s="148">
        <f t="shared" si="4"/>
        <v>3731.6136699969552</v>
      </c>
      <c r="C76" s="148">
        <f t="shared" si="1"/>
        <v>11625.431890598926</v>
      </c>
      <c r="D76" s="148">
        <f t="shared" si="5"/>
        <v>308227.16839485435</v>
      </c>
      <c r="E76" s="43">
        <f t="shared" si="2"/>
        <v>0.14000000000000001</v>
      </c>
      <c r="F76" s="43">
        <f t="shared" si="3"/>
        <v>24</v>
      </c>
      <c r="G76" s="14"/>
      <c r="H76" s="14"/>
    </row>
    <row r="77" spans="1:8">
      <c r="A77" s="148">
        <f t="shared" si="6"/>
        <v>15357.045560595881</v>
      </c>
      <c r="B77" s="148">
        <f t="shared" ref="B77:B100" si="7">+D76*E76/12</f>
        <v>3595.9836312733009</v>
      </c>
      <c r="C77" s="148">
        <f t="shared" ref="C77:C100" si="8">+A77-B77</f>
        <v>11761.061929322581</v>
      </c>
      <c r="D77" s="148">
        <f t="shared" ref="D77:D100" si="9">+D76-C77</f>
        <v>296466.10646553175</v>
      </c>
      <c r="E77" s="43">
        <f t="shared" si="2"/>
        <v>0.14000000000000001</v>
      </c>
      <c r="F77" s="43">
        <f t="shared" si="3"/>
        <v>23</v>
      </c>
      <c r="G77" s="14"/>
      <c r="H77" s="14"/>
    </row>
    <row r="78" spans="1:8">
      <c r="A78" s="148">
        <f t="shared" si="6"/>
        <v>15357.045560595881</v>
      </c>
      <c r="B78" s="148">
        <f t="shared" si="7"/>
        <v>3458.771242097871</v>
      </c>
      <c r="C78" s="148">
        <f t="shared" si="8"/>
        <v>11898.27431849801</v>
      </c>
      <c r="D78" s="148">
        <f t="shared" si="9"/>
        <v>284567.83214703371</v>
      </c>
      <c r="E78" s="43">
        <f t="shared" si="2"/>
        <v>0.14000000000000001</v>
      </c>
      <c r="F78" s="43">
        <f t="shared" si="3"/>
        <v>22</v>
      </c>
      <c r="G78" s="14"/>
      <c r="H78" s="14"/>
    </row>
    <row r="79" spans="1:8">
      <c r="A79" s="148">
        <f t="shared" si="6"/>
        <v>15357.045560595881</v>
      </c>
      <c r="B79" s="148">
        <f t="shared" si="7"/>
        <v>3319.9580417153938</v>
      </c>
      <c r="C79" s="148">
        <f t="shared" si="8"/>
        <v>12037.087518880488</v>
      </c>
      <c r="D79" s="148">
        <f t="shared" si="9"/>
        <v>272530.74462815322</v>
      </c>
      <c r="E79" s="43">
        <f t="shared" si="2"/>
        <v>0.14000000000000001</v>
      </c>
      <c r="F79" s="43">
        <f t="shared" si="3"/>
        <v>21</v>
      </c>
      <c r="G79" s="14"/>
      <c r="H79" s="14"/>
    </row>
    <row r="80" spans="1:8">
      <c r="A80" s="148">
        <f t="shared" si="6"/>
        <v>15357.045560595881</v>
      </c>
      <c r="B80" s="148">
        <f t="shared" si="7"/>
        <v>3179.5253539951209</v>
      </c>
      <c r="C80" s="148">
        <f t="shared" si="8"/>
        <v>12177.520206600761</v>
      </c>
      <c r="D80" s="148">
        <f t="shared" si="9"/>
        <v>260353.22442155247</v>
      </c>
      <c r="E80" s="43">
        <f t="shared" si="2"/>
        <v>0.14000000000000001</v>
      </c>
      <c r="F80" s="43">
        <f t="shared" si="3"/>
        <v>20</v>
      </c>
      <c r="G80" s="14"/>
      <c r="H80" s="14"/>
    </row>
    <row r="81" spans="1:8">
      <c r="A81" s="148">
        <f t="shared" si="6"/>
        <v>15357.045560595881</v>
      </c>
      <c r="B81" s="148">
        <f t="shared" si="7"/>
        <v>3037.4542849181125</v>
      </c>
      <c r="C81" s="148">
        <f t="shared" si="8"/>
        <v>12319.591275677769</v>
      </c>
      <c r="D81" s="148">
        <f t="shared" si="9"/>
        <v>248033.63314587472</v>
      </c>
      <c r="E81" s="43">
        <f t="shared" si="2"/>
        <v>0.14000000000000001</v>
      </c>
      <c r="F81" s="43">
        <f t="shared" si="3"/>
        <v>19</v>
      </c>
      <c r="G81" s="14"/>
      <c r="H81" s="14"/>
    </row>
    <row r="82" spans="1:8">
      <c r="A82" s="148">
        <f t="shared" si="6"/>
        <v>15357.045560595881</v>
      </c>
      <c r="B82" s="148">
        <f t="shared" si="7"/>
        <v>2893.7257200352051</v>
      </c>
      <c r="C82" s="148">
        <f t="shared" si="8"/>
        <v>12463.319840560676</v>
      </c>
      <c r="D82" s="148">
        <f t="shared" si="9"/>
        <v>235570.31330531405</v>
      </c>
      <c r="E82" s="43">
        <f t="shared" si="2"/>
        <v>0.14000000000000001</v>
      </c>
      <c r="F82" s="43">
        <f t="shared" si="3"/>
        <v>18</v>
      </c>
      <c r="G82" s="14"/>
      <c r="H82" s="14"/>
    </row>
    <row r="83" spans="1:8">
      <c r="A83" s="148">
        <f t="shared" si="6"/>
        <v>15357.045560595881</v>
      </c>
      <c r="B83" s="148">
        <f t="shared" si="7"/>
        <v>2748.3203218953308</v>
      </c>
      <c r="C83" s="148">
        <f t="shared" si="8"/>
        <v>12608.72523870055</v>
      </c>
      <c r="D83" s="148">
        <f t="shared" si="9"/>
        <v>222961.58806661351</v>
      </c>
      <c r="E83" s="43">
        <f t="shared" si="2"/>
        <v>0.14000000000000001</v>
      </c>
      <c r="F83" s="43">
        <f t="shared" si="3"/>
        <v>17</v>
      </c>
      <c r="G83" s="14"/>
      <c r="H83" s="14"/>
    </row>
    <row r="84" spans="1:8">
      <c r="A84" s="148">
        <f t="shared" si="6"/>
        <v>15357.045560595881</v>
      </c>
      <c r="B84" s="148">
        <f t="shared" si="7"/>
        <v>2601.2185274438248</v>
      </c>
      <c r="C84" s="148">
        <f t="shared" si="8"/>
        <v>12755.827033152056</v>
      </c>
      <c r="D84" s="148">
        <f t="shared" si="9"/>
        <v>210205.76103346146</v>
      </c>
      <c r="E84" s="43">
        <f t="shared" si="2"/>
        <v>0.14000000000000001</v>
      </c>
      <c r="F84" s="43">
        <f t="shared" si="3"/>
        <v>16</v>
      </c>
      <c r="G84" s="14"/>
      <c r="H84" s="14"/>
    </row>
    <row r="85" spans="1:8">
      <c r="A85" s="148">
        <f t="shared" si="6"/>
        <v>15357.045560595881</v>
      </c>
      <c r="B85" s="148">
        <f t="shared" si="7"/>
        <v>2452.4005453903842</v>
      </c>
      <c r="C85" s="148">
        <f t="shared" si="8"/>
        <v>12904.645015205497</v>
      </c>
      <c r="D85" s="148">
        <f t="shared" si="9"/>
        <v>197301.11601825597</v>
      </c>
      <c r="E85" s="43">
        <f t="shared" si="2"/>
        <v>0.14000000000000001</v>
      </c>
      <c r="F85" s="43">
        <f t="shared" si="3"/>
        <v>15</v>
      </c>
      <c r="G85" s="14"/>
      <c r="H85" s="14"/>
    </row>
    <row r="86" spans="1:8">
      <c r="A86" s="148">
        <f t="shared" si="6"/>
        <v>15357.045560595881</v>
      </c>
      <c r="B86" s="148">
        <f t="shared" si="7"/>
        <v>2301.8463535463197</v>
      </c>
      <c r="C86" s="148">
        <f t="shared" si="8"/>
        <v>13055.199207049562</v>
      </c>
      <c r="D86" s="148">
        <f t="shared" si="9"/>
        <v>184245.91681120641</v>
      </c>
      <c r="E86" s="43">
        <f t="shared" si="2"/>
        <v>0.14000000000000001</v>
      </c>
      <c r="F86" s="43">
        <f t="shared" si="3"/>
        <v>14</v>
      </c>
      <c r="G86" s="14"/>
      <c r="H86" s="14"/>
    </row>
    <row r="87" spans="1:8">
      <c r="A87" s="148">
        <f t="shared" si="6"/>
        <v>15357.045560595881</v>
      </c>
      <c r="B87" s="148">
        <f t="shared" si="7"/>
        <v>2149.5356961307416</v>
      </c>
      <c r="C87" s="148">
        <f t="shared" si="8"/>
        <v>13207.509864465141</v>
      </c>
      <c r="D87" s="148">
        <f t="shared" si="9"/>
        <v>171038.40694674128</v>
      </c>
      <c r="E87" s="43">
        <f t="shared" si="2"/>
        <v>0.14000000000000001</v>
      </c>
      <c r="F87" s="43">
        <f t="shared" si="3"/>
        <v>13</v>
      </c>
      <c r="G87" s="14"/>
      <c r="H87" s="14"/>
    </row>
    <row r="88" spans="1:8">
      <c r="A88" s="148">
        <f t="shared" si="6"/>
        <v>15357.045560595881</v>
      </c>
      <c r="B88" s="148">
        <f t="shared" si="7"/>
        <v>1995.4480810453151</v>
      </c>
      <c r="C88" s="148">
        <f t="shared" si="8"/>
        <v>13361.597479550566</v>
      </c>
      <c r="D88" s="148">
        <f t="shared" si="9"/>
        <v>157676.8094671907</v>
      </c>
      <c r="E88" s="43">
        <f t="shared" si="2"/>
        <v>0.14000000000000001</v>
      </c>
      <c r="F88" s="43">
        <f t="shared" si="3"/>
        <v>12</v>
      </c>
      <c r="G88" s="14"/>
      <c r="H88" s="14"/>
    </row>
    <row r="89" spans="1:8">
      <c r="A89" s="148">
        <f t="shared" si="6"/>
        <v>15357.045560595881</v>
      </c>
      <c r="B89" s="148">
        <f t="shared" si="7"/>
        <v>1839.5627771172251</v>
      </c>
      <c r="C89" s="148">
        <f t="shared" si="8"/>
        <v>13517.482783478656</v>
      </c>
      <c r="D89" s="148">
        <f t="shared" si="9"/>
        <v>144159.32668371205</v>
      </c>
      <c r="E89" s="43">
        <f t="shared" si="2"/>
        <v>0.14000000000000001</v>
      </c>
      <c r="F89" s="43">
        <f t="shared" si="3"/>
        <v>11</v>
      </c>
      <c r="G89" s="14"/>
      <c r="H89" s="14"/>
    </row>
    <row r="90" spans="1:8">
      <c r="A90" s="148">
        <f t="shared" si="6"/>
        <v>15357.045560595881</v>
      </c>
      <c r="B90" s="148">
        <f t="shared" si="7"/>
        <v>1681.858811309974</v>
      </c>
      <c r="C90" s="148">
        <f t="shared" si="8"/>
        <v>13675.186749285907</v>
      </c>
      <c r="D90" s="148">
        <f t="shared" si="9"/>
        <v>130484.13993442614</v>
      </c>
      <c r="E90" s="43">
        <f t="shared" si="2"/>
        <v>0.14000000000000001</v>
      </c>
      <c r="F90" s="43">
        <f t="shared" si="3"/>
        <v>10</v>
      </c>
      <c r="G90" s="14"/>
      <c r="H90" s="14"/>
    </row>
    <row r="91" spans="1:8">
      <c r="A91" s="148">
        <f t="shared" si="6"/>
        <v>15357.045560595881</v>
      </c>
      <c r="B91" s="148">
        <f t="shared" si="7"/>
        <v>1522.3149659016383</v>
      </c>
      <c r="C91" s="148">
        <f t="shared" si="8"/>
        <v>13834.730594694243</v>
      </c>
      <c r="D91" s="148">
        <f t="shared" si="9"/>
        <v>116649.40933973191</v>
      </c>
      <c r="E91" s="43">
        <f t="shared" si="2"/>
        <v>0.14000000000000001</v>
      </c>
      <c r="F91" s="43">
        <f t="shared" si="3"/>
        <v>9</v>
      </c>
      <c r="G91" s="14"/>
      <c r="H91" s="14"/>
    </row>
    <row r="92" spans="1:8">
      <c r="A92" s="148">
        <f t="shared" si="6"/>
        <v>15357.045560595881</v>
      </c>
      <c r="B92" s="148">
        <f t="shared" si="7"/>
        <v>1360.9097756302058</v>
      </c>
      <c r="C92" s="148">
        <f t="shared" si="8"/>
        <v>13996.135784965676</v>
      </c>
      <c r="D92" s="148">
        <f t="shared" si="9"/>
        <v>102653.27355476623</v>
      </c>
      <c r="E92" s="43">
        <f t="shared" si="2"/>
        <v>0.14000000000000001</v>
      </c>
      <c r="F92" s="43">
        <f t="shared" si="3"/>
        <v>8</v>
      </c>
      <c r="G92" s="14"/>
      <c r="H92" s="14"/>
    </row>
    <row r="93" spans="1:8">
      <c r="A93" s="148">
        <f t="shared" si="6"/>
        <v>15357.045560595881</v>
      </c>
      <c r="B93" s="148">
        <f t="shared" si="7"/>
        <v>1197.6215248056062</v>
      </c>
      <c r="C93" s="148">
        <f t="shared" si="8"/>
        <v>14159.424035790275</v>
      </c>
      <c r="D93" s="148">
        <f t="shared" si="9"/>
        <v>88493.849518975956</v>
      </c>
      <c r="E93" s="43">
        <f t="shared" si="2"/>
        <v>0.14000000000000001</v>
      </c>
      <c r="F93" s="43">
        <f t="shared" si="3"/>
        <v>7</v>
      </c>
      <c r="G93" s="14"/>
      <c r="H93" s="14"/>
    </row>
    <row r="94" spans="1:8">
      <c r="A94" s="148">
        <f t="shared" si="6"/>
        <v>15357.045560595881</v>
      </c>
      <c r="B94" s="148">
        <f t="shared" si="7"/>
        <v>1032.4282443880529</v>
      </c>
      <c r="C94" s="148">
        <f t="shared" si="8"/>
        <v>14324.617316207828</v>
      </c>
      <c r="D94" s="148">
        <f t="shared" si="9"/>
        <v>74169.232202768122</v>
      </c>
      <c r="E94" s="43">
        <f t="shared" si="2"/>
        <v>0.14000000000000001</v>
      </c>
      <c r="F94" s="43">
        <f t="shared" si="3"/>
        <v>6</v>
      </c>
      <c r="G94" s="14"/>
      <c r="H94" s="14"/>
    </row>
    <row r="95" spans="1:8">
      <c r="A95" s="148">
        <f t="shared" si="6"/>
        <v>15357.045560595881</v>
      </c>
      <c r="B95" s="148">
        <f t="shared" si="7"/>
        <v>865.30770903229484</v>
      </c>
      <c r="C95" s="148">
        <f t="shared" si="8"/>
        <v>14491.737851563586</v>
      </c>
      <c r="D95" s="148">
        <f t="shared" si="9"/>
        <v>59677.494351204536</v>
      </c>
      <c r="E95" s="43">
        <f t="shared" si="2"/>
        <v>0.14000000000000001</v>
      </c>
      <c r="F95" s="43">
        <f t="shared" si="3"/>
        <v>5</v>
      </c>
      <c r="G95" s="14"/>
      <c r="H95" s="14"/>
    </row>
    <row r="96" spans="1:8">
      <c r="A96" s="148">
        <f t="shared" si="6"/>
        <v>15357.045560595881</v>
      </c>
      <c r="B96" s="148">
        <f t="shared" si="7"/>
        <v>696.23743409738643</v>
      </c>
      <c r="C96" s="148">
        <f t="shared" si="8"/>
        <v>14660.808126498496</v>
      </c>
      <c r="D96" s="148">
        <f t="shared" si="9"/>
        <v>45016.686224706042</v>
      </c>
      <c r="E96" s="43">
        <f t="shared" si="2"/>
        <v>0.14000000000000001</v>
      </c>
      <c r="F96" s="43">
        <f t="shared" si="3"/>
        <v>4</v>
      </c>
      <c r="G96" s="14"/>
      <c r="H96" s="14"/>
    </row>
    <row r="97" spans="1:8">
      <c r="A97" s="148">
        <f t="shared" si="6"/>
        <v>15357.045560595881</v>
      </c>
      <c r="B97" s="148">
        <f t="shared" si="7"/>
        <v>525.19467262157048</v>
      </c>
      <c r="C97" s="148">
        <f t="shared" si="8"/>
        <v>14831.850887974311</v>
      </c>
      <c r="D97" s="148">
        <f t="shared" si="9"/>
        <v>30184.835336731732</v>
      </c>
      <c r="E97" s="43">
        <f t="shared" si="2"/>
        <v>0.14000000000000001</v>
      </c>
      <c r="F97" s="43">
        <f t="shared" si="3"/>
        <v>3</v>
      </c>
      <c r="G97" s="14"/>
      <c r="H97" s="14"/>
    </row>
    <row r="98" spans="1:8">
      <c r="A98" s="148">
        <f t="shared" si="6"/>
        <v>15357.045560595881</v>
      </c>
      <c r="B98" s="148">
        <f t="shared" si="7"/>
        <v>352.15641226187023</v>
      </c>
      <c r="C98" s="148">
        <f t="shared" si="8"/>
        <v>15004.88914833401</v>
      </c>
      <c r="D98" s="148">
        <f t="shared" si="9"/>
        <v>15179.946188397722</v>
      </c>
      <c r="E98" s="43">
        <f t="shared" si="2"/>
        <v>0.14000000000000001</v>
      </c>
      <c r="F98" s="43">
        <f t="shared" si="3"/>
        <v>2</v>
      </c>
      <c r="G98" s="14"/>
      <c r="H98" s="14"/>
    </row>
    <row r="99" spans="1:8">
      <c r="A99" s="148">
        <f t="shared" si="6"/>
        <v>15357.045560595881</v>
      </c>
      <c r="B99" s="148">
        <f t="shared" si="7"/>
        <v>177.09937219797345</v>
      </c>
      <c r="C99" s="148">
        <f t="shared" si="8"/>
        <v>15179.946188397907</v>
      </c>
      <c r="D99" s="148">
        <f t="shared" si="9"/>
        <v>-1.8553691916167736E-10</v>
      </c>
      <c r="E99" s="43">
        <f t="shared" si="2"/>
        <v>0.14000000000000001</v>
      </c>
      <c r="F99" s="43">
        <f t="shared" si="3"/>
        <v>1</v>
      </c>
      <c r="G99" s="14"/>
      <c r="H99" s="14"/>
    </row>
    <row r="100" spans="1:8">
      <c r="A100" s="148">
        <f t="shared" si="6"/>
        <v>15357.045560595881</v>
      </c>
      <c r="B100" s="148">
        <f t="shared" si="7"/>
        <v>-2.1645973902195695E-12</v>
      </c>
      <c r="C100" s="148">
        <f t="shared" si="8"/>
        <v>15357.045560595883</v>
      </c>
      <c r="D100" s="148">
        <f t="shared" si="9"/>
        <v>-15357.045560596069</v>
      </c>
      <c r="E100" s="43">
        <f t="shared" si="2"/>
        <v>0.14000000000000001</v>
      </c>
      <c r="F100" s="43">
        <f t="shared" si="3"/>
        <v>0</v>
      </c>
      <c r="G100" s="14"/>
      <c r="H100" s="14"/>
    </row>
  </sheetData>
  <mergeCells count="2">
    <mergeCell ref="A1:D1"/>
    <mergeCell ref="A35:F35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9"/>
  <sheetViews>
    <sheetView topLeftCell="A35" workbookViewId="0">
      <selection activeCell="H49" sqref="H49"/>
    </sheetView>
  </sheetViews>
  <sheetFormatPr baseColWidth="10" defaultRowHeight="14.5"/>
  <cols>
    <col min="1" max="1" width="16.7265625" customWidth="1"/>
    <col min="2" max="2" width="13.81640625" customWidth="1"/>
    <col min="4" max="4" width="17.54296875" customWidth="1"/>
    <col min="9" max="10" width="13.54296875" customWidth="1"/>
    <col min="11" max="11" width="13.54296875" bestFit="1" customWidth="1"/>
    <col min="12" max="12" width="12.453125" customWidth="1"/>
    <col min="13" max="13" width="11.26953125" bestFit="1" customWidth="1"/>
  </cols>
  <sheetData>
    <row r="1" spans="1:4">
      <c r="A1" s="211" t="s">
        <v>868</v>
      </c>
      <c r="B1" s="211"/>
      <c r="C1" s="211"/>
      <c r="D1" s="211"/>
    </row>
    <row r="2" spans="1:4">
      <c r="A2" s="140" t="s">
        <v>1</v>
      </c>
      <c r="B2" s="140" t="s">
        <v>2</v>
      </c>
      <c r="C2" s="140" t="s">
        <v>862</v>
      </c>
      <c r="D2" s="140" t="s">
        <v>863</v>
      </c>
    </row>
    <row r="3" spans="1:4">
      <c r="A3" s="13">
        <v>45847</v>
      </c>
      <c r="B3" s="12">
        <v>1931600</v>
      </c>
      <c r="C3" s="14" t="s">
        <v>864</v>
      </c>
      <c r="D3" s="12">
        <v>1931600</v>
      </c>
    </row>
    <row r="4" spans="1:4">
      <c r="A4" s="13">
        <v>45847</v>
      </c>
      <c r="B4" s="12">
        <v>50000</v>
      </c>
      <c r="C4" s="14" t="s">
        <v>865</v>
      </c>
      <c r="D4" s="12">
        <f>+D3-B4</f>
        <v>1881600</v>
      </c>
    </row>
    <row r="5" spans="1:4">
      <c r="A5" s="13">
        <v>45852</v>
      </c>
      <c r="B5" s="12">
        <v>50000</v>
      </c>
      <c r="C5" s="14" t="s">
        <v>865</v>
      </c>
      <c r="D5" s="12">
        <f t="shared" ref="D5:D31" si="0">+D4-B5</f>
        <v>1831600</v>
      </c>
    </row>
    <row r="6" spans="1:4">
      <c r="A6" s="14"/>
      <c r="B6" s="12"/>
      <c r="C6" s="14"/>
      <c r="D6" s="12">
        <f t="shared" si="0"/>
        <v>1831600</v>
      </c>
    </row>
    <row r="7" spans="1:4">
      <c r="A7" s="14"/>
      <c r="B7" s="12"/>
      <c r="C7" s="14"/>
      <c r="D7" s="12">
        <f t="shared" si="0"/>
        <v>1831600</v>
      </c>
    </row>
    <row r="8" spans="1:4">
      <c r="A8" s="14"/>
      <c r="B8" s="12"/>
      <c r="C8" s="14"/>
      <c r="D8" s="12">
        <f t="shared" si="0"/>
        <v>1831600</v>
      </c>
    </row>
    <row r="9" spans="1:4">
      <c r="A9" s="14"/>
      <c r="B9" s="12"/>
      <c r="C9" s="14"/>
      <c r="D9" s="12">
        <f t="shared" si="0"/>
        <v>1831600</v>
      </c>
    </row>
    <row r="10" spans="1:4">
      <c r="A10" s="14"/>
      <c r="B10" s="12"/>
      <c r="C10" s="14"/>
      <c r="D10" s="12">
        <f t="shared" si="0"/>
        <v>1831600</v>
      </c>
    </row>
    <row r="11" spans="1:4">
      <c r="A11" s="14"/>
      <c r="B11" s="12"/>
      <c r="C11" s="14"/>
      <c r="D11" s="12">
        <f t="shared" si="0"/>
        <v>1831600</v>
      </c>
    </row>
    <row r="12" spans="1:4">
      <c r="A12" s="14"/>
      <c r="B12" s="12"/>
      <c r="C12" s="14"/>
      <c r="D12" s="12">
        <f t="shared" si="0"/>
        <v>1831600</v>
      </c>
    </row>
    <row r="13" spans="1:4">
      <c r="A13" s="14"/>
      <c r="B13" s="12"/>
      <c r="C13" s="14"/>
      <c r="D13" s="12">
        <f t="shared" si="0"/>
        <v>1831600</v>
      </c>
    </row>
    <row r="14" spans="1:4">
      <c r="A14" s="14"/>
      <c r="B14" s="12"/>
      <c r="C14" s="14"/>
      <c r="D14" s="12">
        <f t="shared" si="0"/>
        <v>1831600</v>
      </c>
    </row>
    <row r="15" spans="1:4">
      <c r="A15" s="14"/>
      <c r="B15" s="12"/>
      <c r="C15" s="14"/>
      <c r="D15" s="12">
        <f t="shared" si="0"/>
        <v>1831600</v>
      </c>
    </row>
    <row r="16" spans="1:4">
      <c r="A16" s="14"/>
      <c r="B16" s="12"/>
      <c r="C16" s="14"/>
      <c r="D16" s="12">
        <f t="shared" si="0"/>
        <v>1831600</v>
      </c>
    </row>
    <row r="17" spans="1:4">
      <c r="A17" s="14"/>
      <c r="B17" s="12"/>
      <c r="C17" s="14"/>
      <c r="D17" s="12">
        <f t="shared" si="0"/>
        <v>1831600</v>
      </c>
    </row>
    <row r="18" spans="1:4">
      <c r="A18" s="14"/>
      <c r="B18" s="12"/>
      <c r="C18" s="14"/>
      <c r="D18" s="12">
        <f t="shared" si="0"/>
        <v>1831600</v>
      </c>
    </row>
    <row r="19" spans="1:4">
      <c r="A19" s="14"/>
      <c r="B19" s="12"/>
      <c r="C19" s="14"/>
      <c r="D19" s="12">
        <f t="shared" si="0"/>
        <v>1831600</v>
      </c>
    </row>
    <row r="20" spans="1:4">
      <c r="A20" s="14"/>
      <c r="B20" s="12"/>
      <c r="C20" s="14"/>
      <c r="D20" s="12">
        <f t="shared" si="0"/>
        <v>1831600</v>
      </c>
    </row>
    <row r="21" spans="1:4">
      <c r="A21" s="14"/>
      <c r="B21" s="12"/>
      <c r="C21" s="14"/>
      <c r="D21" s="12">
        <f t="shared" si="0"/>
        <v>1831600</v>
      </c>
    </row>
    <row r="22" spans="1:4">
      <c r="A22" s="14"/>
      <c r="B22" s="12"/>
      <c r="C22" s="14"/>
      <c r="D22" s="12">
        <f t="shared" si="0"/>
        <v>1831600</v>
      </c>
    </row>
    <row r="23" spans="1:4">
      <c r="A23" s="14"/>
      <c r="B23" s="12"/>
      <c r="C23" s="14"/>
      <c r="D23" s="12">
        <f t="shared" si="0"/>
        <v>1831600</v>
      </c>
    </row>
    <row r="24" spans="1:4">
      <c r="A24" s="14"/>
      <c r="B24" s="12"/>
      <c r="C24" s="14"/>
      <c r="D24" s="12">
        <f t="shared" si="0"/>
        <v>1831600</v>
      </c>
    </row>
    <row r="25" spans="1:4">
      <c r="B25" s="12"/>
      <c r="D25" s="12">
        <f t="shared" si="0"/>
        <v>1831600</v>
      </c>
    </row>
    <row r="26" spans="1:4">
      <c r="B26" s="12"/>
      <c r="D26" s="12">
        <f t="shared" si="0"/>
        <v>1831600</v>
      </c>
    </row>
    <row r="27" spans="1:4">
      <c r="B27" s="12"/>
      <c r="D27" s="12">
        <f t="shared" si="0"/>
        <v>1831600</v>
      </c>
    </row>
    <row r="28" spans="1:4">
      <c r="D28" s="12">
        <f t="shared" si="0"/>
        <v>1831600</v>
      </c>
    </row>
    <row r="29" spans="1:4">
      <c r="D29" s="12">
        <f t="shared" si="0"/>
        <v>1831600</v>
      </c>
    </row>
    <row r="30" spans="1:4">
      <c r="D30" s="12">
        <f t="shared" si="0"/>
        <v>1831600</v>
      </c>
    </row>
    <row r="31" spans="1:4">
      <c r="D31" s="12">
        <f t="shared" si="0"/>
        <v>1831600</v>
      </c>
    </row>
    <row r="36" spans="1:13">
      <c r="K36">
        <v>2181000</v>
      </c>
    </row>
    <row r="37" spans="1:13">
      <c r="K37">
        <f>29000*63</f>
        <v>1827000</v>
      </c>
    </row>
    <row r="38" spans="1:13">
      <c r="E38" s="37"/>
      <c r="F38" s="37"/>
      <c r="G38" s="37"/>
      <c r="H38" s="37"/>
      <c r="K38">
        <f>+K36-K37</f>
        <v>354000</v>
      </c>
    </row>
    <row r="39" spans="1:13" ht="15.5">
      <c r="A39" s="212" t="s">
        <v>885</v>
      </c>
      <c r="B39" s="212"/>
      <c r="C39" s="212"/>
      <c r="D39" s="212"/>
      <c r="E39" s="212"/>
      <c r="F39" s="212"/>
      <c r="G39" s="212"/>
      <c r="H39" s="212"/>
      <c r="I39" s="212"/>
      <c r="J39" s="172"/>
      <c r="K39" s="141"/>
    </row>
    <row r="40" spans="1:13" ht="15.5">
      <c r="A40" s="142" t="s">
        <v>874</v>
      </c>
      <c r="B40" s="141"/>
      <c r="C40" s="142" t="s">
        <v>875</v>
      </c>
      <c r="D40" s="142"/>
      <c r="E40" s="142"/>
      <c r="F40" s="142"/>
      <c r="G40" s="149"/>
      <c r="H40" s="149"/>
      <c r="I40" s="141"/>
      <c r="J40" s="141"/>
      <c r="K40" s="141"/>
      <c r="M40" s="156">
        <f>+A41+150000</f>
        <v>1888487</v>
      </c>
    </row>
    <row r="41" spans="1:13" ht="15.5">
      <c r="A41" s="143">
        <v>1738487</v>
      </c>
      <c r="B41" s="141"/>
      <c r="C41" s="142"/>
      <c r="D41" s="144"/>
      <c r="E41" s="144">
        <v>14</v>
      </c>
      <c r="F41" s="144"/>
      <c r="G41" s="149"/>
      <c r="H41" s="149"/>
      <c r="I41" s="141"/>
      <c r="J41" s="141"/>
      <c r="K41" s="141"/>
    </row>
    <row r="42" spans="1:13" ht="15.5">
      <c r="A42" s="145" t="s">
        <v>876</v>
      </c>
      <c r="B42" s="145" t="s">
        <v>877</v>
      </c>
      <c r="C42" s="145" t="s">
        <v>878</v>
      </c>
      <c r="D42" s="145" t="s">
        <v>902</v>
      </c>
      <c r="E42" s="145" t="s">
        <v>880</v>
      </c>
      <c r="F42" s="145" t="s">
        <v>881</v>
      </c>
      <c r="G42" s="145" t="s">
        <v>901</v>
      </c>
      <c r="H42" s="145" t="s">
        <v>1028</v>
      </c>
      <c r="I42" s="145" t="s">
        <v>883</v>
      </c>
      <c r="J42" s="145" t="s">
        <v>967</v>
      </c>
      <c r="K42" s="145" t="s">
        <v>136</v>
      </c>
    </row>
    <row r="43" spans="1:13" ht="15.5">
      <c r="A43" s="143">
        <v>30000</v>
      </c>
      <c r="B43" s="143">
        <v>0</v>
      </c>
      <c r="C43" s="143">
        <f t="shared" ref="C43:C106" si="1">+A43-B43</f>
        <v>30000</v>
      </c>
      <c r="D43" s="143">
        <f>+A41-C43</f>
        <v>1708487</v>
      </c>
      <c r="E43" s="142">
        <f>+E41</f>
        <v>14</v>
      </c>
      <c r="F43" s="142">
        <v>1</v>
      </c>
      <c r="G43" s="143">
        <v>50000</v>
      </c>
      <c r="H43" s="157">
        <v>45852</v>
      </c>
      <c r="I43" s="157">
        <v>45852</v>
      </c>
      <c r="J43" s="146"/>
      <c r="K43" s="143">
        <f>+A41-G43</f>
        <v>1688487</v>
      </c>
      <c r="M43" t="s">
        <v>950</v>
      </c>
    </row>
    <row r="44" spans="1:13" ht="15.5">
      <c r="A44" s="143">
        <v>30000</v>
      </c>
      <c r="B44" s="143">
        <v>0</v>
      </c>
      <c r="C44" s="143">
        <f t="shared" si="1"/>
        <v>30000</v>
      </c>
      <c r="D44" s="143">
        <f t="shared" ref="D44:D107" si="2">+D43-C44</f>
        <v>1678487</v>
      </c>
      <c r="E44" s="142">
        <f t="shared" ref="E44:E107" si="3">+E43</f>
        <v>14</v>
      </c>
      <c r="F44" s="142">
        <f>+F43+1</f>
        <v>2</v>
      </c>
      <c r="G44" s="143">
        <v>50000</v>
      </c>
      <c r="H44" s="157">
        <v>45883</v>
      </c>
      <c r="I44" s="157">
        <v>45883</v>
      </c>
      <c r="J44" s="147"/>
      <c r="K44" s="143">
        <f>+K43-G44</f>
        <v>1638487</v>
      </c>
      <c r="M44" s="20">
        <v>45909</v>
      </c>
    </row>
    <row r="45" spans="1:13" ht="15.5">
      <c r="A45" s="143">
        <v>30000</v>
      </c>
      <c r="B45" s="143">
        <v>0</v>
      </c>
      <c r="C45" s="143">
        <f t="shared" si="1"/>
        <v>30000</v>
      </c>
      <c r="D45" s="143">
        <f t="shared" si="2"/>
        <v>1648487</v>
      </c>
      <c r="E45" s="142">
        <f t="shared" si="3"/>
        <v>14</v>
      </c>
      <c r="F45" s="142">
        <f t="shared" ref="F45:F108" si="4">+F44+1</f>
        <v>3</v>
      </c>
      <c r="G45" s="143">
        <v>43163</v>
      </c>
      <c r="H45" s="157">
        <v>45915</v>
      </c>
      <c r="I45" s="157">
        <v>45915</v>
      </c>
      <c r="J45" s="147" t="s">
        <v>968</v>
      </c>
      <c r="K45" s="143">
        <f>+K44-G45</f>
        <v>1595324</v>
      </c>
    </row>
    <row r="46" spans="1:13" ht="15.5">
      <c r="A46" s="143">
        <v>30000</v>
      </c>
      <c r="B46" s="143">
        <v>0</v>
      </c>
      <c r="C46" s="143">
        <f t="shared" si="1"/>
        <v>30000</v>
      </c>
      <c r="D46" s="143">
        <f t="shared" si="2"/>
        <v>1618487</v>
      </c>
      <c r="E46" s="142">
        <f t="shared" si="3"/>
        <v>14</v>
      </c>
      <c r="F46" s="142">
        <f t="shared" si="4"/>
        <v>4</v>
      </c>
      <c r="G46" s="143">
        <v>30000</v>
      </c>
      <c r="H46" s="157">
        <v>45939</v>
      </c>
      <c r="I46" s="189">
        <v>45994</v>
      </c>
      <c r="J46" s="190"/>
      <c r="K46" s="143">
        <f t="shared" ref="K46:K58" si="5">+K45-G46</f>
        <v>1565324</v>
      </c>
    </row>
    <row r="47" spans="1:13" ht="15.5">
      <c r="A47" s="143">
        <v>30000</v>
      </c>
      <c r="B47" s="143">
        <v>0</v>
      </c>
      <c r="C47" s="143">
        <f t="shared" si="1"/>
        <v>30000</v>
      </c>
      <c r="D47" s="143">
        <f t="shared" si="2"/>
        <v>1588487</v>
      </c>
      <c r="E47" s="142">
        <f t="shared" si="3"/>
        <v>14</v>
      </c>
      <c r="F47" s="142">
        <f t="shared" si="4"/>
        <v>5</v>
      </c>
      <c r="G47" s="143"/>
      <c r="H47" s="157">
        <v>45970</v>
      </c>
      <c r="I47" s="147"/>
      <c r="J47" s="147"/>
      <c r="K47" s="143">
        <f t="shared" si="5"/>
        <v>1565324</v>
      </c>
      <c r="L47" s="156">
        <v>1931600</v>
      </c>
    </row>
    <row r="48" spans="1:13" ht="15.5">
      <c r="A48" s="143">
        <v>30000</v>
      </c>
      <c r="B48" s="143">
        <v>0</v>
      </c>
      <c r="C48" s="143">
        <f t="shared" si="1"/>
        <v>30000</v>
      </c>
      <c r="D48" s="143">
        <f t="shared" si="2"/>
        <v>1558487</v>
      </c>
      <c r="E48" s="142">
        <f t="shared" si="3"/>
        <v>14</v>
      </c>
      <c r="F48" s="142">
        <f t="shared" si="4"/>
        <v>6</v>
      </c>
      <c r="G48" s="143"/>
      <c r="H48" s="157">
        <v>46000</v>
      </c>
      <c r="I48" s="147"/>
      <c r="J48" s="147"/>
      <c r="K48" s="143">
        <f t="shared" si="5"/>
        <v>1565324</v>
      </c>
      <c r="L48" s="156"/>
    </row>
    <row r="49" spans="1:12" ht="15.5">
      <c r="A49" s="143">
        <v>30000</v>
      </c>
      <c r="B49" s="143">
        <f t="shared" ref="B49:B112" si="6">(+D48*E48/100)/12</f>
        <v>18182.348333333332</v>
      </c>
      <c r="C49" s="143">
        <f t="shared" si="1"/>
        <v>11817.651666666668</v>
      </c>
      <c r="D49" s="143">
        <f t="shared" si="2"/>
        <v>1546669.3483333334</v>
      </c>
      <c r="E49" s="142">
        <f t="shared" si="3"/>
        <v>14</v>
      </c>
      <c r="F49" s="142">
        <f t="shared" si="4"/>
        <v>7</v>
      </c>
      <c r="G49" s="143"/>
      <c r="H49" s="142"/>
      <c r="I49" s="147"/>
      <c r="J49" s="147"/>
      <c r="K49" s="143">
        <f t="shared" si="5"/>
        <v>1565324</v>
      </c>
      <c r="L49" s="156">
        <f>+L54/L47</f>
        <v>-7.4116276661834748E-2</v>
      </c>
    </row>
    <row r="50" spans="1:12" ht="15.5">
      <c r="A50" s="143">
        <v>30000</v>
      </c>
      <c r="B50" s="143">
        <f t="shared" si="6"/>
        <v>18044.475730555558</v>
      </c>
      <c r="C50" s="143">
        <f t="shared" si="1"/>
        <v>11955.524269444442</v>
      </c>
      <c r="D50" s="143">
        <f t="shared" si="2"/>
        <v>1534713.824063889</v>
      </c>
      <c r="E50" s="142">
        <f t="shared" si="3"/>
        <v>14</v>
      </c>
      <c r="F50" s="142">
        <f t="shared" si="4"/>
        <v>8</v>
      </c>
      <c r="G50" s="143"/>
      <c r="H50" s="142"/>
      <c r="I50" s="147"/>
      <c r="J50" s="147"/>
      <c r="K50" s="143">
        <f t="shared" si="5"/>
        <v>1565324</v>
      </c>
    </row>
    <row r="51" spans="1:12" ht="15.5">
      <c r="A51" s="143">
        <v>30000</v>
      </c>
      <c r="B51" s="143">
        <f t="shared" si="6"/>
        <v>17904.994614078703</v>
      </c>
      <c r="C51" s="143">
        <f t="shared" si="1"/>
        <v>12095.005385921297</v>
      </c>
      <c r="D51" s="143">
        <f t="shared" si="2"/>
        <v>1522618.8186779676</v>
      </c>
      <c r="E51" s="142">
        <f t="shared" si="3"/>
        <v>14</v>
      </c>
      <c r="F51" s="142">
        <f t="shared" si="4"/>
        <v>9</v>
      </c>
      <c r="G51" s="143"/>
      <c r="H51" s="142"/>
      <c r="I51" s="147"/>
      <c r="J51" s="147"/>
      <c r="K51" s="143">
        <f t="shared" si="5"/>
        <v>1565324</v>
      </c>
      <c r="L51" s="156">
        <f>+A41+G43+G44+G45</f>
        <v>1881650</v>
      </c>
    </row>
    <row r="52" spans="1:12" ht="15.5">
      <c r="A52" s="143">
        <v>30000</v>
      </c>
      <c r="B52" s="143">
        <f t="shared" si="6"/>
        <v>17763.886217909621</v>
      </c>
      <c r="C52" s="143">
        <f t="shared" si="1"/>
        <v>12236.113782090379</v>
      </c>
      <c r="D52" s="143">
        <f t="shared" si="2"/>
        <v>1510382.7048958773</v>
      </c>
      <c r="E52" s="142">
        <f t="shared" si="3"/>
        <v>14</v>
      </c>
      <c r="F52" s="142">
        <f t="shared" si="4"/>
        <v>10</v>
      </c>
      <c r="G52" s="143"/>
      <c r="H52" s="142"/>
      <c r="I52" s="147"/>
      <c r="J52" s="147"/>
      <c r="K52" s="143">
        <f t="shared" si="5"/>
        <v>1565324</v>
      </c>
    </row>
    <row r="53" spans="1:12" ht="15.5">
      <c r="A53" s="143">
        <v>30000</v>
      </c>
      <c r="B53" s="143">
        <f t="shared" si="6"/>
        <v>17621.13155711857</v>
      </c>
      <c r="C53" s="143">
        <f t="shared" si="1"/>
        <v>12378.86844288143</v>
      </c>
      <c r="D53" s="143">
        <f t="shared" si="2"/>
        <v>1498003.8364529959</v>
      </c>
      <c r="E53" s="142">
        <f t="shared" si="3"/>
        <v>14</v>
      </c>
      <c r="F53" s="142">
        <f t="shared" si="4"/>
        <v>11</v>
      </c>
      <c r="G53" s="143"/>
      <c r="H53" s="142"/>
      <c r="I53" s="147"/>
      <c r="J53" s="147"/>
      <c r="K53" s="143">
        <f t="shared" si="5"/>
        <v>1565324</v>
      </c>
      <c r="L53" s="156">
        <f>+A41+50</f>
        <v>1738537</v>
      </c>
    </row>
    <row r="54" spans="1:12" ht="15.5">
      <c r="A54" s="143">
        <v>30000</v>
      </c>
      <c r="B54" s="143">
        <f t="shared" si="6"/>
        <v>17476.711425284953</v>
      </c>
      <c r="C54" s="143">
        <f t="shared" si="1"/>
        <v>12523.288574715047</v>
      </c>
      <c r="D54" s="143">
        <f t="shared" si="2"/>
        <v>1485480.5478782807</v>
      </c>
      <c r="E54" s="142">
        <f t="shared" si="3"/>
        <v>14</v>
      </c>
      <c r="F54" s="142">
        <f t="shared" si="4"/>
        <v>12</v>
      </c>
      <c r="G54" s="143"/>
      <c r="H54" s="142"/>
      <c r="I54" s="147"/>
      <c r="J54" s="147"/>
      <c r="K54" s="143">
        <f t="shared" si="5"/>
        <v>1565324</v>
      </c>
      <c r="L54" s="156">
        <v>-143163</v>
      </c>
    </row>
    <row r="55" spans="1:12" ht="15.5">
      <c r="A55" s="143">
        <v>30000</v>
      </c>
      <c r="B55" s="143">
        <f t="shared" si="6"/>
        <v>17330.606391913276</v>
      </c>
      <c r="C55" s="143">
        <f t="shared" si="1"/>
        <v>12669.393608086724</v>
      </c>
      <c r="D55" s="143">
        <f t="shared" si="2"/>
        <v>1472811.154270194</v>
      </c>
      <c r="E55" s="142">
        <f t="shared" si="3"/>
        <v>14</v>
      </c>
      <c r="F55" s="142">
        <f t="shared" si="4"/>
        <v>13</v>
      </c>
      <c r="G55" s="143"/>
      <c r="H55" s="142"/>
      <c r="I55" s="147"/>
      <c r="J55" s="147"/>
      <c r="K55" s="143">
        <f t="shared" si="5"/>
        <v>1565324</v>
      </c>
    </row>
    <row r="56" spans="1:12" ht="15.5">
      <c r="A56" s="143">
        <v>30000</v>
      </c>
      <c r="B56" s="143">
        <f t="shared" si="6"/>
        <v>17182.796799818931</v>
      </c>
      <c r="C56" s="143">
        <f t="shared" si="1"/>
        <v>12817.203200181069</v>
      </c>
      <c r="D56" s="143">
        <f t="shared" si="2"/>
        <v>1459993.951070013</v>
      </c>
      <c r="E56" s="142">
        <f t="shared" si="3"/>
        <v>14</v>
      </c>
      <c r="F56" s="142">
        <f t="shared" si="4"/>
        <v>14</v>
      </c>
      <c r="G56" s="142"/>
      <c r="H56" s="142"/>
      <c r="I56" s="147"/>
      <c r="J56" s="147"/>
      <c r="K56" s="143">
        <f t="shared" si="5"/>
        <v>1565324</v>
      </c>
      <c r="L56" s="156">
        <f>SUM(L53:L54)</f>
        <v>1595374</v>
      </c>
    </row>
    <row r="57" spans="1:12" ht="15.5">
      <c r="A57" s="143">
        <v>30000</v>
      </c>
      <c r="B57" s="143">
        <f t="shared" si="6"/>
        <v>17033.262762483486</v>
      </c>
      <c r="C57" s="143">
        <f t="shared" si="1"/>
        <v>12966.737237516514</v>
      </c>
      <c r="D57" s="143">
        <f t="shared" si="2"/>
        <v>1447027.2138324964</v>
      </c>
      <c r="E57" s="142">
        <f t="shared" si="3"/>
        <v>14</v>
      </c>
      <c r="F57" s="142">
        <f t="shared" si="4"/>
        <v>15</v>
      </c>
      <c r="G57" s="142"/>
      <c r="H57" s="142"/>
      <c r="I57" s="147"/>
      <c r="J57" s="147"/>
      <c r="K57" s="143">
        <f t="shared" si="5"/>
        <v>1565324</v>
      </c>
    </row>
    <row r="58" spans="1:12" ht="15.5">
      <c r="A58" s="143">
        <v>30000</v>
      </c>
      <c r="B58" s="143">
        <f t="shared" si="6"/>
        <v>16881.984161379125</v>
      </c>
      <c r="C58" s="143">
        <f t="shared" si="1"/>
        <v>13118.015838620875</v>
      </c>
      <c r="D58" s="143">
        <f t="shared" si="2"/>
        <v>1433909.1979938755</v>
      </c>
      <c r="E58" s="142">
        <f t="shared" si="3"/>
        <v>14</v>
      </c>
      <c r="F58" s="142">
        <f t="shared" si="4"/>
        <v>16</v>
      </c>
      <c r="G58" s="142"/>
      <c r="H58" s="142"/>
      <c r="I58" s="147"/>
      <c r="J58" s="147"/>
      <c r="K58" s="143">
        <f t="shared" si="5"/>
        <v>1565324</v>
      </c>
    </row>
    <row r="59" spans="1:12" ht="15.5">
      <c r="A59" s="143">
        <v>30000</v>
      </c>
      <c r="B59" s="143">
        <f t="shared" si="6"/>
        <v>16728.940643261882</v>
      </c>
      <c r="C59" s="143">
        <f t="shared" si="1"/>
        <v>13271.059356738118</v>
      </c>
      <c r="D59" s="143">
        <f t="shared" si="2"/>
        <v>1420638.1386371374</v>
      </c>
      <c r="E59" s="142">
        <f t="shared" si="3"/>
        <v>14</v>
      </c>
      <c r="F59" s="142">
        <f t="shared" si="4"/>
        <v>17</v>
      </c>
      <c r="G59" s="142"/>
      <c r="H59" s="142"/>
      <c r="I59" s="147"/>
      <c r="J59" s="147"/>
      <c r="K59" s="147"/>
    </row>
    <row r="60" spans="1:12" ht="15.5">
      <c r="A60" s="143">
        <v>30000</v>
      </c>
      <c r="B60" s="143">
        <f t="shared" si="6"/>
        <v>16574.111617433271</v>
      </c>
      <c r="C60" s="143">
        <f t="shared" si="1"/>
        <v>13425.888382566729</v>
      </c>
      <c r="D60" s="143">
        <f t="shared" si="2"/>
        <v>1407212.2502545707</v>
      </c>
      <c r="E60" s="142">
        <f t="shared" si="3"/>
        <v>14</v>
      </c>
      <c r="F60" s="142">
        <f t="shared" si="4"/>
        <v>18</v>
      </c>
      <c r="G60" s="142"/>
      <c r="H60" s="142"/>
      <c r="I60" s="147"/>
      <c r="J60" s="147"/>
      <c r="K60" s="147"/>
    </row>
    <row r="61" spans="1:12" ht="15.5">
      <c r="A61" s="143">
        <v>30000</v>
      </c>
      <c r="B61" s="143">
        <f t="shared" si="6"/>
        <v>16417.476252969991</v>
      </c>
      <c r="C61" s="143">
        <f t="shared" si="1"/>
        <v>13582.523747030009</v>
      </c>
      <c r="D61" s="143">
        <f t="shared" si="2"/>
        <v>1393629.7265075408</v>
      </c>
      <c r="E61" s="142">
        <f t="shared" si="3"/>
        <v>14</v>
      </c>
      <c r="F61" s="142">
        <f t="shared" si="4"/>
        <v>19</v>
      </c>
      <c r="G61" s="142"/>
      <c r="H61" s="142"/>
      <c r="I61" s="147"/>
      <c r="J61" s="147"/>
      <c r="K61" s="147"/>
    </row>
    <row r="62" spans="1:12" ht="15.5">
      <c r="A62" s="143">
        <v>30000</v>
      </c>
      <c r="B62" s="143">
        <f t="shared" si="6"/>
        <v>16259.013475921309</v>
      </c>
      <c r="C62" s="143">
        <f t="shared" si="1"/>
        <v>13740.986524078691</v>
      </c>
      <c r="D62" s="143">
        <f t="shared" si="2"/>
        <v>1379888.739983462</v>
      </c>
      <c r="E62" s="142">
        <f t="shared" si="3"/>
        <v>14</v>
      </c>
      <c r="F62" s="142">
        <f t="shared" si="4"/>
        <v>20</v>
      </c>
      <c r="G62" s="142"/>
      <c r="H62" s="142"/>
      <c r="I62" s="147"/>
      <c r="J62" s="147"/>
      <c r="K62" s="147"/>
    </row>
    <row r="63" spans="1:12" ht="15.5">
      <c r="A63" s="143">
        <v>30000</v>
      </c>
      <c r="B63" s="143">
        <f t="shared" si="6"/>
        <v>16098.701966473724</v>
      </c>
      <c r="C63" s="143">
        <f t="shared" si="1"/>
        <v>13901.298033526276</v>
      </c>
      <c r="D63" s="143">
        <f t="shared" si="2"/>
        <v>1365987.4419499359</v>
      </c>
      <c r="E63" s="142">
        <f t="shared" si="3"/>
        <v>14</v>
      </c>
      <c r="F63" s="142">
        <f t="shared" si="4"/>
        <v>21</v>
      </c>
      <c r="G63" s="142"/>
      <c r="H63" s="142"/>
      <c r="I63" s="147"/>
      <c r="J63" s="147"/>
      <c r="K63" s="147"/>
    </row>
    <row r="64" spans="1:12" ht="15.5">
      <c r="A64" s="143">
        <v>30000</v>
      </c>
      <c r="B64" s="143">
        <f t="shared" si="6"/>
        <v>15936.520156082586</v>
      </c>
      <c r="C64" s="143">
        <f t="shared" si="1"/>
        <v>14063.479843917414</v>
      </c>
      <c r="D64" s="143">
        <f t="shared" si="2"/>
        <v>1351923.9621060186</v>
      </c>
      <c r="E64" s="142">
        <f t="shared" si="3"/>
        <v>14</v>
      </c>
      <c r="F64" s="142">
        <f t="shared" si="4"/>
        <v>22</v>
      </c>
      <c r="G64" s="142"/>
      <c r="H64" s="142"/>
      <c r="I64" s="147"/>
      <c r="J64" s="147"/>
      <c r="K64" s="147"/>
    </row>
    <row r="65" spans="1:11" ht="15.5">
      <c r="A65" s="143">
        <v>30000</v>
      </c>
      <c r="B65" s="143">
        <f t="shared" si="6"/>
        <v>15772.446224570216</v>
      </c>
      <c r="C65" s="143">
        <f t="shared" si="1"/>
        <v>14227.553775429784</v>
      </c>
      <c r="D65" s="143">
        <f t="shared" si="2"/>
        <v>1337696.4083305888</v>
      </c>
      <c r="E65" s="142">
        <f t="shared" si="3"/>
        <v>14</v>
      </c>
      <c r="F65" s="142">
        <f t="shared" si="4"/>
        <v>23</v>
      </c>
      <c r="G65" s="142"/>
      <c r="H65" s="142"/>
      <c r="I65" s="147"/>
      <c r="J65" s="147"/>
      <c r="K65" s="147"/>
    </row>
    <row r="66" spans="1:11" ht="15.5">
      <c r="A66" s="143">
        <v>30000</v>
      </c>
      <c r="B66" s="143">
        <f t="shared" si="6"/>
        <v>15606.458097190201</v>
      </c>
      <c r="C66" s="143">
        <f t="shared" si="1"/>
        <v>14393.541902809799</v>
      </c>
      <c r="D66" s="143">
        <f t="shared" si="2"/>
        <v>1323302.866427779</v>
      </c>
      <c r="E66" s="142">
        <f t="shared" si="3"/>
        <v>14</v>
      </c>
      <c r="F66" s="142">
        <f t="shared" si="4"/>
        <v>24</v>
      </c>
      <c r="G66" s="142"/>
      <c r="H66" s="142"/>
      <c r="I66" s="147"/>
      <c r="J66" s="147"/>
      <c r="K66" s="147"/>
    </row>
    <row r="67" spans="1:11" ht="15.5">
      <c r="A67" s="143">
        <v>30000</v>
      </c>
      <c r="B67" s="143">
        <f t="shared" si="6"/>
        <v>15438.533441657421</v>
      </c>
      <c r="C67" s="143">
        <f t="shared" si="1"/>
        <v>14561.466558342579</v>
      </c>
      <c r="D67" s="143">
        <f t="shared" si="2"/>
        <v>1308741.3998694364</v>
      </c>
      <c r="E67" s="142">
        <f t="shared" si="3"/>
        <v>14</v>
      </c>
      <c r="F67" s="142">
        <f t="shared" si="4"/>
        <v>25</v>
      </c>
      <c r="G67" s="142"/>
      <c r="H67" s="142"/>
      <c r="I67" s="147"/>
      <c r="J67" s="147"/>
      <c r="K67" s="147"/>
    </row>
    <row r="68" spans="1:11" ht="15.5">
      <c r="A68" s="143">
        <v>30000</v>
      </c>
      <c r="B68" s="143">
        <f t="shared" si="6"/>
        <v>15268.649665143426</v>
      </c>
      <c r="C68" s="143">
        <f t="shared" si="1"/>
        <v>14731.350334856574</v>
      </c>
      <c r="D68" s="143">
        <f t="shared" si="2"/>
        <v>1294010.0495345797</v>
      </c>
      <c r="E68" s="142">
        <f t="shared" si="3"/>
        <v>14</v>
      </c>
      <c r="F68" s="142">
        <f t="shared" si="4"/>
        <v>26</v>
      </c>
      <c r="G68" s="142"/>
      <c r="H68" s="142"/>
      <c r="I68" s="147"/>
      <c r="J68" s="147"/>
      <c r="K68" s="147"/>
    </row>
    <row r="69" spans="1:11" ht="15.5">
      <c r="A69" s="143">
        <v>30000</v>
      </c>
      <c r="B69" s="143">
        <f t="shared" si="6"/>
        <v>15096.783911236764</v>
      </c>
      <c r="C69" s="143">
        <f t="shared" si="1"/>
        <v>14903.216088763236</v>
      </c>
      <c r="D69" s="143">
        <f t="shared" si="2"/>
        <v>1279106.8334458165</v>
      </c>
      <c r="E69" s="142">
        <f t="shared" si="3"/>
        <v>14</v>
      </c>
      <c r="F69" s="142">
        <f t="shared" si="4"/>
        <v>27</v>
      </c>
      <c r="G69" s="142"/>
      <c r="H69" s="142"/>
      <c r="I69" s="147"/>
      <c r="J69" s="147"/>
      <c r="K69" s="147"/>
    </row>
    <row r="70" spans="1:11" ht="15.5">
      <c r="A70" s="143">
        <v>30000</v>
      </c>
      <c r="B70" s="143">
        <f t="shared" si="6"/>
        <v>14922.913056867859</v>
      </c>
      <c r="C70" s="143">
        <f t="shared" si="1"/>
        <v>15077.086943132141</v>
      </c>
      <c r="D70" s="143">
        <f t="shared" si="2"/>
        <v>1264029.7465026844</v>
      </c>
      <c r="E70" s="142">
        <f t="shared" si="3"/>
        <v>14</v>
      </c>
      <c r="F70" s="142">
        <f t="shared" si="4"/>
        <v>28</v>
      </c>
      <c r="G70" s="142"/>
      <c r="H70" s="142"/>
      <c r="I70" s="147"/>
      <c r="J70" s="147"/>
      <c r="K70" s="147"/>
    </row>
    <row r="71" spans="1:11" ht="15.5">
      <c r="A71" s="143">
        <v>30000</v>
      </c>
      <c r="B71" s="143">
        <f t="shared" si="6"/>
        <v>14747.013709197985</v>
      </c>
      <c r="C71" s="143">
        <f t="shared" si="1"/>
        <v>15252.986290802015</v>
      </c>
      <c r="D71" s="143">
        <f t="shared" si="2"/>
        <v>1248776.7602118824</v>
      </c>
      <c r="E71" s="142">
        <f t="shared" si="3"/>
        <v>14</v>
      </c>
      <c r="F71" s="142">
        <f t="shared" si="4"/>
        <v>29</v>
      </c>
      <c r="G71" s="142"/>
      <c r="H71" s="142"/>
      <c r="I71" s="147"/>
      <c r="J71" s="147"/>
      <c r="K71" s="147"/>
    </row>
    <row r="72" spans="1:11" ht="15.5">
      <c r="A72" s="143">
        <v>30000</v>
      </c>
      <c r="B72" s="143">
        <f t="shared" si="6"/>
        <v>14569.062202471961</v>
      </c>
      <c r="C72" s="143">
        <f t="shared" si="1"/>
        <v>15430.937797528039</v>
      </c>
      <c r="D72" s="143">
        <f t="shared" si="2"/>
        <v>1233345.8224143544</v>
      </c>
      <c r="E72" s="142">
        <f t="shared" si="3"/>
        <v>14</v>
      </c>
      <c r="F72" s="142">
        <f t="shared" si="4"/>
        <v>30</v>
      </c>
      <c r="G72" s="142"/>
      <c r="H72" s="142"/>
      <c r="I72" s="147"/>
      <c r="J72" s="147"/>
      <c r="K72" s="147"/>
    </row>
    <row r="73" spans="1:11" ht="15.5">
      <c r="A73" s="143">
        <v>30000</v>
      </c>
      <c r="B73" s="143">
        <f t="shared" si="6"/>
        <v>14389.034594834136</v>
      </c>
      <c r="C73" s="143">
        <f t="shared" si="1"/>
        <v>15610.965405165864</v>
      </c>
      <c r="D73" s="143">
        <f t="shared" si="2"/>
        <v>1217734.8570091885</v>
      </c>
      <c r="E73" s="142">
        <f t="shared" si="3"/>
        <v>14</v>
      </c>
      <c r="F73" s="142">
        <f t="shared" si="4"/>
        <v>31</v>
      </c>
      <c r="G73" s="142"/>
      <c r="H73" s="142"/>
      <c r="I73" s="147"/>
      <c r="J73" s="147"/>
      <c r="K73" s="147"/>
    </row>
    <row r="74" spans="1:11" ht="15.5">
      <c r="A74" s="143">
        <v>30000</v>
      </c>
      <c r="B74" s="143">
        <f t="shared" si="6"/>
        <v>14206.906665107199</v>
      </c>
      <c r="C74" s="143">
        <f t="shared" si="1"/>
        <v>15793.093334892801</v>
      </c>
      <c r="D74" s="143">
        <f t="shared" si="2"/>
        <v>1201941.7636742957</v>
      </c>
      <c r="E74" s="142">
        <f t="shared" si="3"/>
        <v>14</v>
      </c>
      <c r="F74" s="142">
        <f t="shared" si="4"/>
        <v>32</v>
      </c>
      <c r="G74" s="142"/>
      <c r="H74" s="142"/>
      <c r="I74" s="147"/>
      <c r="J74" s="147"/>
      <c r="K74" s="147"/>
    </row>
    <row r="75" spans="1:11" ht="15.5">
      <c r="A75" s="143">
        <v>30000</v>
      </c>
      <c r="B75" s="143">
        <f t="shared" si="6"/>
        <v>14022.65390953345</v>
      </c>
      <c r="C75" s="143">
        <f t="shared" si="1"/>
        <v>15977.34609046655</v>
      </c>
      <c r="D75" s="143">
        <f t="shared" si="2"/>
        <v>1185964.4175838293</v>
      </c>
      <c r="E75" s="142">
        <f t="shared" si="3"/>
        <v>14</v>
      </c>
      <c r="F75" s="142">
        <f t="shared" si="4"/>
        <v>33</v>
      </c>
      <c r="G75" s="142"/>
      <c r="H75" s="142"/>
      <c r="I75" s="147"/>
      <c r="J75" s="147"/>
      <c r="K75" s="147"/>
    </row>
    <row r="76" spans="1:11" ht="15.5">
      <c r="A76" s="143">
        <v>30000</v>
      </c>
      <c r="B76" s="143">
        <f t="shared" si="6"/>
        <v>13836.251538478007</v>
      </c>
      <c r="C76" s="143">
        <f t="shared" si="1"/>
        <v>16163.748461521993</v>
      </c>
      <c r="D76" s="143">
        <f t="shared" si="2"/>
        <v>1169800.6691223073</v>
      </c>
      <c r="E76" s="142">
        <f t="shared" si="3"/>
        <v>14</v>
      </c>
      <c r="F76" s="142">
        <f t="shared" si="4"/>
        <v>34</v>
      </c>
      <c r="G76" s="142"/>
      <c r="H76" s="142"/>
      <c r="I76" s="147"/>
      <c r="J76" s="147"/>
      <c r="K76" s="147"/>
    </row>
    <row r="77" spans="1:11" ht="15.5">
      <c r="A77" s="143">
        <v>30000</v>
      </c>
      <c r="B77" s="143">
        <f t="shared" si="6"/>
        <v>13647.674473093584</v>
      </c>
      <c r="C77" s="143">
        <f t="shared" si="1"/>
        <v>16352.325526906416</v>
      </c>
      <c r="D77" s="143">
        <f t="shared" si="2"/>
        <v>1153448.3435954009</v>
      </c>
      <c r="E77" s="142">
        <f t="shared" si="3"/>
        <v>14</v>
      </c>
      <c r="F77" s="142">
        <f t="shared" si="4"/>
        <v>35</v>
      </c>
      <c r="G77" s="142"/>
      <c r="H77" s="142"/>
      <c r="I77" s="147"/>
      <c r="J77" s="147"/>
      <c r="K77" s="147"/>
    </row>
    <row r="78" spans="1:11" ht="15.5">
      <c r="A78" s="143">
        <v>30000</v>
      </c>
      <c r="B78" s="143">
        <f t="shared" si="6"/>
        <v>13456.897341946344</v>
      </c>
      <c r="C78" s="143">
        <f t="shared" si="1"/>
        <v>16543.102658053656</v>
      </c>
      <c r="D78" s="143">
        <f t="shared" si="2"/>
        <v>1136905.2409373473</v>
      </c>
      <c r="E78" s="142">
        <f t="shared" si="3"/>
        <v>14</v>
      </c>
      <c r="F78" s="142">
        <f t="shared" si="4"/>
        <v>36</v>
      </c>
      <c r="G78" s="142"/>
      <c r="H78" s="142"/>
      <c r="I78" s="147"/>
      <c r="J78" s="147"/>
      <c r="K78" s="147"/>
    </row>
    <row r="79" spans="1:11" ht="15.5">
      <c r="A79" s="143">
        <v>30000</v>
      </c>
      <c r="B79" s="143">
        <f t="shared" si="6"/>
        <v>13263.894477602385</v>
      </c>
      <c r="C79" s="143">
        <f t="shared" si="1"/>
        <v>16736.105522397615</v>
      </c>
      <c r="D79" s="143">
        <f t="shared" si="2"/>
        <v>1120169.1354149496</v>
      </c>
      <c r="E79" s="142">
        <f t="shared" si="3"/>
        <v>14</v>
      </c>
      <c r="F79" s="142">
        <f t="shared" si="4"/>
        <v>37</v>
      </c>
      <c r="G79" s="142"/>
      <c r="H79" s="142"/>
      <c r="I79" s="147"/>
      <c r="J79" s="147"/>
      <c r="K79" s="147"/>
    </row>
    <row r="80" spans="1:11" ht="15.5">
      <c r="A80" s="143">
        <v>30000</v>
      </c>
      <c r="B80" s="143">
        <f t="shared" si="6"/>
        <v>13068.639913174411</v>
      </c>
      <c r="C80" s="143">
        <f t="shared" si="1"/>
        <v>16931.360086825589</v>
      </c>
      <c r="D80" s="143">
        <f t="shared" si="2"/>
        <v>1103237.7753281239</v>
      </c>
      <c r="E80" s="142">
        <f t="shared" si="3"/>
        <v>14</v>
      </c>
      <c r="F80" s="142">
        <f t="shared" si="4"/>
        <v>38</v>
      </c>
      <c r="G80" s="142"/>
      <c r="H80" s="142"/>
      <c r="I80" s="147"/>
      <c r="J80" s="147"/>
      <c r="K80" s="147"/>
    </row>
    <row r="81" spans="1:11" ht="15.5">
      <c r="A81" s="143">
        <v>30000</v>
      </c>
      <c r="B81" s="143">
        <f t="shared" si="6"/>
        <v>12871.107378828114</v>
      </c>
      <c r="C81" s="143">
        <f t="shared" si="1"/>
        <v>17128.892621171886</v>
      </c>
      <c r="D81" s="143">
        <f t="shared" si="2"/>
        <v>1086108.882706952</v>
      </c>
      <c r="E81" s="142">
        <f t="shared" si="3"/>
        <v>14</v>
      </c>
      <c r="F81" s="142">
        <f t="shared" si="4"/>
        <v>39</v>
      </c>
      <c r="G81" s="142"/>
      <c r="H81" s="142"/>
      <c r="I81" s="147"/>
      <c r="J81" s="147"/>
      <c r="K81" s="147"/>
    </row>
    <row r="82" spans="1:11" ht="15.5">
      <c r="A82" s="143">
        <v>30000</v>
      </c>
      <c r="B82" s="143">
        <f t="shared" si="6"/>
        <v>12671.270298247773</v>
      </c>
      <c r="C82" s="143">
        <f t="shared" si="1"/>
        <v>17328.729701752229</v>
      </c>
      <c r="D82" s="143">
        <f t="shared" si="2"/>
        <v>1068780.1530051997</v>
      </c>
      <c r="E82" s="142">
        <f t="shared" si="3"/>
        <v>14</v>
      </c>
      <c r="F82" s="142">
        <f t="shared" si="4"/>
        <v>40</v>
      </c>
      <c r="G82" s="142"/>
      <c r="H82" s="142"/>
      <c r="I82" s="147"/>
      <c r="J82" s="147"/>
      <c r="K82" s="147"/>
    </row>
    <row r="83" spans="1:11" ht="15.5">
      <c r="A83" s="143">
        <v>30000</v>
      </c>
      <c r="B83" s="143">
        <f t="shared" si="6"/>
        <v>12469.101785060664</v>
      </c>
      <c r="C83" s="143">
        <f t="shared" si="1"/>
        <v>17530.898214939334</v>
      </c>
      <c r="D83" s="143">
        <f t="shared" si="2"/>
        <v>1051249.2547902605</v>
      </c>
      <c r="E83" s="142">
        <f t="shared" si="3"/>
        <v>14</v>
      </c>
      <c r="F83" s="142">
        <f t="shared" si="4"/>
        <v>41</v>
      </c>
      <c r="G83" s="142"/>
      <c r="H83" s="142"/>
      <c r="I83" s="147"/>
      <c r="J83" s="147"/>
      <c r="K83" s="147"/>
    </row>
    <row r="84" spans="1:11" ht="15.5">
      <c r="A84" s="143">
        <v>30000</v>
      </c>
      <c r="B84" s="143">
        <f t="shared" si="6"/>
        <v>12264.574639219705</v>
      </c>
      <c r="C84" s="143">
        <f t="shared" si="1"/>
        <v>17735.425360780297</v>
      </c>
      <c r="D84" s="143">
        <f t="shared" si="2"/>
        <v>1033513.8294294801</v>
      </c>
      <c r="E84" s="142">
        <f t="shared" si="3"/>
        <v>14</v>
      </c>
      <c r="F84" s="142">
        <f t="shared" si="4"/>
        <v>42</v>
      </c>
      <c r="G84" s="142"/>
      <c r="H84" s="142"/>
      <c r="I84" s="147"/>
      <c r="J84" s="147"/>
      <c r="K84" s="147"/>
    </row>
    <row r="85" spans="1:11" ht="15.5">
      <c r="A85" s="143">
        <v>30000</v>
      </c>
      <c r="B85" s="143">
        <f t="shared" si="6"/>
        <v>12057.661343343934</v>
      </c>
      <c r="C85" s="143">
        <f t="shared" si="1"/>
        <v>17942.338656656066</v>
      </c>
      <c r="D85" s="143">
        <f t="shared" si="2"/>
        <v>1015571.490772824</v>
      </c>
      <c r="E85" s="142">
        <f t="shared" si="3"/>
        <v>14</v>
      </c>
      <c r="F85" s="142">
        <f t="shared" si="4"/>
        <v>43</v>
      </c>
      <c r="G85" s="142"/>
      <c r="H85" s="142"/>
      <c r="I85" s="147"/>
      <c r="J85" s="147"/>
      <c r="K85" s="147"/>
    </row>
    <row r="86" spans="1:11" ht="15.5">
      <c r="A86" s="143">
        <v>30000</v>
      </c>
      <c r="B86" s="143">
        <f t="shared" si="6"/>
        <v>11848.334059016282</v>
      </c>
      <c r="C86" s="143">
        <f t="shared" si="1"/>
        <v>18151.665940983716</v>
      </c>
      <c r="D86" s="143">
        <f t="shared" si="2"/>
        <v>997419.82483184035</v>
      </c>
      <c r="E86" s="142">
        <f t="shared" si="3"/>
        <v>14</v>
      </c>
      <c r="F86" s="142">
        <f t="shared" si="4"/>
        <v>44</v>
      </c>
      <c r="G86" s="142"/>
      <c r="H86" s="142"/>
      <c r="I86" s="147"/>
      <c r="J86" s="147"/>
      <c r="K86" s="147"/>
    </row>
    <row r="87" spans="1:11" ht="15.5">
      <c r="A87" s="143">
        <v>30000</v>
      </c>
      <c r="B87" s="143">
        <f t="shared" si="6"/>
        <v>11636.564623038137</v>
      </c>
      <c r="C87" s="143">
        <f t="shared" si="1"/>
        <v>18363.435376961861</v>
      </c>
      <c r="D87" s="143">
        <f t="shared" si="2"/>
        <v>979056.38945487852</v>
      </c>
      <c r="E87" s="142">
        <f t="shared" si="3"/>
        <v>14</v>
      </c>
      <c r="F87" s="142">
        <f t="shared" si="4"/>
        <v>45</v>
      </c>
      <c r="G87" s="142"/>
      <c r="H87" s="142"/>
      <c r="I87" s="147"/>
      <c r="J87" s="147"/>
      <c r="K87" s="147"/>
    </row>
    <row r="88" spans="1:11" ht="15.5">
      <c r="A88" s="143">
        <v>30000</v>
      </c>
      <c r="B88" s="143">
        <f t="shared" si="6"/>
        <v>11422.324543640249</v>
      </c>
      <c r="C88" s="143">
        <f t="shared" si="1"/>
        <v>18577.67545635975</v>
      </c>
      <c r="D88" s="143">
        <f t="shared" si="2"/>
        <v>960478.71399851877</v>
      </c>
      <c r="E88" s="142">
        <f t="shared" si="3"/>
        <v>14</v>
      </c>
      <c r="F88" s="142">
        <f t="shared" si="4"/>
        <v>46</v>
      </c>
      <c r="G88" s="142"/>
      <c r="H88" s="142"/>
      <c r="I88" s="147"/>
      <c r="J88" s="147"/>
      <c r="K88" s="147"/>
    </row>
    <row r="89" spans="1:11" ht="15.5">
      <c r="A89" s="143">
        <v>30000</v>
      </c>
      <c r="B89" s="143">
        <f t="shared" si="6"/>
        <v>11205.584996649384</v>
      </c>
      <c r="C89" s="143">
        <f t="shared" si="1"/>
        <v>18794.415003350616</v>
      </c>
      <c r="D89" s="143">
        <f t="shared" si="2"/>
        <v>941684.29899516818</v>
      </c>
      <c r="E89" s="142">
        <f t="shared" si="3"/>
        <v>14</v>
      </c>
      <c r="F89" s="142">
        <f t="shared" si="4"/>
        <v>47</v>
      </c>
      <c r="G89" s="142"/>
      <c r="H89" s="142"/>
      <c r="I89" s="147"/>
      <c r="J89" s="147"/>
      <c r="K89" s="147"/>
    </row>
    <row r="90" spans="1:11" ht="15.5">
      <c r="A90" s="143">
        <v>30000</v>
      </c>
      <c r="B90" s="143">
        <f t="shared" si="6"/>
        <v>10986.316821610295</v>
      </c>
      <c r="C90" s="143">
        <f t="shared" si="1"/>
        <v>19013.683178389707</v>
      </c>
      <c r="D90" s="143">
        <f t="shared" si="2"/>
        <v>922670.6158167785</v>
      </c>
      <c r="E90" s="142">
        <f t="shared" si="3"/>
        <v>14</v>
      </c>
      <c r="F90" s="142">
        <f t="shared" si="4"/>
        <v>48</v>
      </c>
      <c r="G90" s="142"/>
      <c r="H90" s="142"/>
      <c r="I90" s="147"/>
      <c r="J90" s="147"/>
      <c r="K90" s="147"/>
    </row>
    <row r="91" spans="1:11" ht="15.5">
      <c r="A91" s="143">
        <v>30000</v>
      </c>
      <c r="B91" s="143">
        <f t="shared" si="6"/>
        <v>10764.490517862416</v>
      </c>
      <c r="C91" s="143">
        <f t="shared" si="1"/>
        <v>19235.509482137582</v>
      </c>
      <c r="D91" s="143">
        <f t="shared" si="2"/>
        <v>903435.10633464088</v>
      </c>
      <c r="E91" s="142">
        <f t="shared" si="3"/>
        <v>14</v>
      </c>
      <c r="F91" s="142">
        <f t="shared" si="4"/>
        <v>49</v>
      </c>
      <c r="G91" s="142"/>
      <c r="H91" s="142"/>
      <c r="I91" s="147"/>
      <c r="J91" s="147"/>
      <c r="K91" s="147"/>
    </row>
    <row r="92" spans="1:11" ht="15.5">
      <c r="A92" s="143">
        <v>30000</v>
      </c>
      <c r="B92" s="143">
        <f t="shared" si="6"/>
        <v>10540.07624057081</v>
      </c>
      <c r="C92" s="143">
        <f t="shared" si="1"/>
        <v>19459.923759429192</v>
      </c>
      <c r="D92" s="143">
        <f t="shared" si="2"/>
        <v>883975.18257521163</v>
      </c>
      <c r="E92" s="142">
        <f t="shared" si="3"/>
        <v>14</v>
      </c>
      <c r="F92" s="142">
        <f t="shared" si="4"/>
        <v>50</v>
      </c>
      <c r="G92" s="142"/>
      <c r="H92" s="142"/>
      <c r="I92" s="147"/>
      <c r="J92" s="147"/>
      <c r="K92" s="147"/>
    </row>
    <row r="93" spans="1:11" ht="15.5">
      <c r="A93" s="143">
        <v>30000</v>
      </c>
      <c r="B93" s="143">
        <f t="shared" si="6"/>
        <v>10313.043796710803</v>
      </c>
      <c r="C93" s="143">
        <f t="shared" si="1"/>
        <v>19686.956203289199</v>
      </c>
      <c r="D93" s="143">
        <f t="shared" si="2"/>
        <v>864288.22637192241</v>
      </c>
      <c r="E93" s="142">
        <f t="shared" si="3"/>
        <v>14</v>
      </c>
      <c r="F93" s="142">
        <f t="shared" si="4"/>
        <v>51</v>
      </c>
      <c r="G93" s="142"/>
      <c r="H93" s="142"/>
      <c r="I93" s="147"/>
      <c r="J93" s="147"/>
      <c r="K93" s="147"/>
    </row>
    <row r="94" spans="1:11" ht="15.5">
      <c r="A94" s="143">
        <v>30000</v>
      </c>
      <c r="B94" s="143">
        <f t="shared" si="6"/>
        <v>10083.36264100576</v>
      </c>
      <c r="C94" s="143">
        <f t="shared" si="1"/>
        <v>19916.637358994238</v>
      </c>
      <c r="D94" s="143">
        <f t="shared" si="2"/>
        <v>844371.58901292819</v>
      </c>
      <c r="E94" s="142">
        <f t="shared" si="3"/>
        <v>14</v>
      </c>
      <c r="F94" s="142">
        <f t="shared" si="4"/>
        <v>52</v>
      </c>
      <c r="G94" s="142"/>
      <c r="H94" s="142"/>
      <c r="I94" s="147"/>
      <c r="J94" s="147"/>
      <c r="K94" s="147"/>
    </row>
    <row r="95" spans="1:11" ht="15.5">
      <c r="A95" s="143">
        <v>30000</v>
      </c>
      <c r="B95" s="143">
        <f t="shared" si="6"/>
        <v>9851.0018718174961</v>
      </c>
      <c r="C95" s="143">
        <f t="shared" si="1"/>
        <v>20148.998128182502</v>
      </c>
      <c r="D95" s="143">
        <f t="shared" si="2"/>
        <v>824222.5908847457</v>
      </c>
      <c r="E95" s="142">
        <f t="shared" si="3"/>
        <v>14</v>
      </c>
      <c r="F95" s="142">
        <f t="shared" si="4"/>
        <v>53</v>
      </c>
      <c r="G95" s="142"/>
      <c r="H95" s="142"/>
      <c r="I95" s="147"/>
      <c r="J95" s="147"/>
      <c r="K95" s="147"/>
    </row>
    <row r="96" spans="1:11" ht="15.5">
      <c r="A96" s="143">
        <v>30000</v>
      </c>
      <c r="B96" s="143">
        <f t="shared" si="6"/>
        <v>9615.9302269886994</v>
      </c>
      <c r="C96" s="143">
        <f t="shared" si="1"/>
        <v>20384.069773011302</v>
      </c>
      <c r="D96" s="143">
        <f t="shared" si="2"/>
        <v>803838.52111173444</v>
      </c>
      <c r="E96" s="142">
        <f t="shared" si="3"/>
        <v>14</v>
      </c>
      <c r="F96" s="142">
        <f t="shared" si="4"/>
        <v>54</v>
      </c>
      <c r="G96" s="142"/>
      <c r="H96" s="142"/>
      <c r="I96" s="147"/>
      <c r="J96" s="147"/>
      <c r="K96" s="147"/>
    </row>
    <row r="97" spans="1:11" ht="15.5">
      <c r="A97" s="143">
        <v>30000</v>
      </c>
      <c r="B97" s="143">
        <f t="shared" si="6"/>
        <v>9378.1160796369022</v>
      </c>
      <c r="C97" s="143">
        <f t="shared" si="1"/>
        <v>20621.8839203631</v>
      </c>
      <c r="D97" s="143">
        <f t="shared" si="2"/>
        <v>783216.63719137129</v>
      </c>
      <c r="E97" s="142">
        <f t="shared" si="3"/>
        <v>14</v>
      </c>
      <c r="F97" s="142">
        <f t="shared" si="4"/>
        <v>55</v>
      </c>
      <c r="G97" s="142"/>
      <c r="H97" s="142"/>
      <c r="I97" s="147"/>
      <c r="J97" s="147"/>
      <c r="K97" s="147"/>
    </row>
    <row r="98" spans="1:11" ht="15.5">
      <c r="A98" s="143">
        <v>30000</v>
      </c>
      <c r="B98" s="143">
        <f t="shared" si="6"/>
        <v>9137.5274338993313</v>
      </c>
      <c r="C98" s="143">
        <f t="shared" si="1"/>
        <v>20862.472566100667</v>
      </c>
      <c r="D98" s="143">
        <f t="shared" si="2"/>
        <v>762354.16462527064</v>
      </c>
      <c r="E98" s="142">
        <f t="shared" si="3"/>
        <v>14</v>
      </c>
      <c r="F98" s="142">
        <f t="shared" si="4"/>
        <v>56</v>
      </c>
      <c r="G98" s="142"/>
      <c r="H98" s="142"/>
      <c r="I98" s="147"/>
      <c r="J98" s="147"/>
      <c r="K98" s="147"/>
    </row>
    <row r="99" spans="1:11" ht="15.5">
      <c r="A99" s="143">
        <v>30000</v>
      </c>
      <c r="B99" s="143">
        <f t="shared" si="6"/>
        <v>8894.1319206281569</v>
      </c>
      <c r="C99" s="143">
        <f t="shared" si="1"/>
        <v>21105.868079371845</v>
      </c>
      <c r="D99" s="143">
        <f t="shared" si="2"/>
        <v>741248.29654589877</v>
      </c>
      <c r="E99" s="142">
        <f t="shared" si="3"/>
        <v>14</v>
      </c>
      <c r="F99" s="142">
        <f t="shared" si="4"/>
        <v>57</v>
      </c>
      <c r="G99" s="142"/>
      <c r="H99" s="142"/>
      <c r="I99" s="147"/>
      <c r="J99" s="147"/>
      <c r="K99" s="147"/>
    </row>
    <row r="100" spans="1:11" ht="15.5">
      <c r="A100" s="143">
        <v>30000</v>
      </c>
      <c r="B100" s="143">
        <f t="shared" si="6"/>
        <v>8647.8967930354866</v>
      </c>
      <c r="C100" s="143">
        <f t="shared" si="1"/>
        <v>21352.103206964515</v>
      </c>
      <c r="D100" s="143">
        <f t="shared" si="2"/>
        <v>719896.19333893422</v>
      </c>
      <c r="E100" s="142">
        <f t="shared" si="3"/>
        <v>14</v>
      </c>
      <c r="F100" s="142">
        <f t="shared" si="4"/>
        <v>58</v>
      </c>
      <c r="G100" s="142"/>
      <c r="H100" s="142"/>
      <c r="I100" s="147"/>
      <c r="J100" s="147"/>
      <c r="K100" s="147"/>
    </row>
    <row r="101" spans="1:11" ht="15.5">
      <c r="A101" s="143">
        <v>30000</v>
      </c>
      <c r="B101" s="143">
        <f t="shared" si="6"/>
        <v>8398.7889222875656</v>
      </c>
      <c r="C101" s="143">
        <f t="shared" si="1"/>
        <v>21601.211077712433</v>
      </c>
      <c r="D101" s="143">
        <f t="shared" si="2"/>
        <v>698294.98226122174</v>
      </c>
      <c r="E101" s="142">
        <f t="shared" si="3"/>
        <v>14</v>
      </c>
      <c r="F101" s="142">
        <f t="shared" si="4"/>
        <v>59</v>
      </c>
      <c r="G101" s="142"/>
      <c r="H101" s="142"/>
      <c r="I101" s="147"/>
      <c r="J101" s="147"/>
      <c r="K101" s="147"/>
    </row>
    <row r="102" spans="1:11" ht="15.5">
      <c r="A102" s="143">
        <v>30000</v>
      </c>
      <c r="B102" s="143">
        <f t="shared" si="6"/>
        <v>8146.7747930475862</v>
      </c>
      <c r="C102" s="143">
        <f t="shared" si="1"/>
        <v>21853.225206952415</v>
      </c>
      <c r="D102" s="143">
        <f t="shared" si="2"/>
        <v>676441.75705426931</v>
      </c>
      <c r="E102" s="142">
        <f t="shared" si="3"/>
        <v>14</v>
      </c>
      <c r="F102" s="142">
        <f t="shared" si="4"/>
        <v>60</v>
      </c>
      <c r="G102" s="142"/>
      <c r="H102" s="142"/>
      <c r="I102" s="147"/>
      <c r="J102" s="147"/>
      <c r="K102" s="147"/>
    </row>
    <row r="103" spans="1:11" ht="15.5">
      <c r="A103" s="143">
        <v>30000</v>
      </c>
      <c r="B103" s="143">
        <f t="shared" si="6"/>
        <v>7891.8204989664746</v>
      </c>
      <c r="C103" s="143">
        <f t="shared" si="1"/>
        <v>22108.179501033526</v>
      </c>
      <c r="D103" s="143">
        <f t="shared" si="2"/>
        <v>654333.57755323581</v>
      </c>
      <c r="E103" s="142">
        <f t="shared" si="3"/>
        <v>14</v>
      </c>
      <c r="F103" s="142">
        <f t="shared" si="4"/>
        <v>61</v>
      </c>
      <c r="G103" s="142"/>
      <c r="H103" s="142"/>
      <c r="I103" s="147"/>
      <c r="J103" s="147"/>
      <c r="K103" s="147"/>
    </row>
    <row r="104" spans="1:11" ht="15.5">
      <c r="A104" s="143">
        <v>30000</v>
      </c>
      <c r="B104" s="143">
        <f t="shared" si="6"/>
        <v>7633.891738121084</v>
      </c>
      <c r="C104" s="143">
        <f t="shared" si="1"/>
        <v>22366.108261878915</v>
      </c>
      <c r="D104" s="143">
        <f t="shared" si="2"/>
        <v>631967.46929135686</v>
      </c>
      <c r="E104" s="142">
        <f t="shared" si="3"/>
        <v>14</v>
      </c>
      <c r="F104" s="142">
        <f t="shared" si="4"/>
        <v>62</v>
      </c>
      <c r="G104" s="142"/>
      <c r="H104" s="142"/>
      <c r="I104" s="147"/>
      <c r="J104" s="147"/>
      <c r="K104" s="147"/>
    </row>
    <row r="105" spans="1:11" ht="15.5">
      <c r="A105" s="143">
        <v>30000</v>
      </c>
      <c r="B105" s="143">
        <f t="shared" si="6"/>
        <v>7372.953808399162</v>
      </c>
      <c r="C105" s="143">
        <f t="shared" si="1"/>
        <v>22627.046191600839</v>
      </c>
      <c r="D105" s="143">
        <f t="shared" si="2"/>
        <v>609340.42309975601</v>
      </c>
      <c r="E105" s="142">
        <f t="shared" si="3"/>
        <v>14</v>
      </c>
      <c r="F105" s="142">
        <f t="shared" si="4"/>
        <v>63</v>
      </c>
      <c r="G105" s="142"/>
      <c r="H105" s="142"/>
      <c r="I105" s="147"/>
      <c r="J105" s="147"/>
      <c r="K105" s="147"/>
    </row>
    <row r="106" spans="1:11" ht="15.5">
      <c r="A106" s="143">
        <v>30000</v>
      </c>
      <c r="B106" s="143">
        <f t="shared" si="6"/>
        <v>7108.9716028304865</v>
      </c>
      <c r="C106" s="143">
        <f t="shared" si="1"/>
        <v>22891.028397169513</v>
      </c>
      <c r="D106" s="143">
        <f t="shared" si="2"/>
        <v>586449.39470258646</v>
      </c>
      <c r="E106" s="142">
        <f t="shared" si="3"/>
        <v>14</v>
      </c>
      <c r="F106" s="142">
        <f t="shared" si="4"/>
        <v>64</v>
      </c>
      <c r="G106" s="142"/>
      <c r="H106" s="142"/>
      <c r="I106" s="147"/>
      <c r="J106" s="147"/>
      <c r="K106" s="147"/>
    </row>
    <row r="107" spans="1:11" ht="15.5">
      <c r="A107" s="143">
        <v>30000</v>
      </c>
      <c r="B107" s="143">
        <f t="shared" si="6"/>
        <v>6841.9096048635083</v>
      </c>
      <c r="C107" s="143">
        <f t="shared" ref="C107:C128" si="7">+A107-B107</f>
        <v>23158.090395136493</v>
      </c>
      <c r="D107" s="143">
        <f t="shared" si="2"/>
        <v>563291.30430744996</v>
      </c>
      <c r="E107" s="142">
        <f t="shared" si="3"/>
        <v>14</v>
      </c>
      <c r="F107" s="142">
        <f t="shared" si="4"/>
        <v>65</v>
      </c>
      <c r="G107" s="142"/>
      <c r="H107" s="142"/>
      <c r="I107" s="147"/>
      <c r="J107" s="147"/>
      <c r="K107" s="147"/>
    </row>
    <row r="108" spans="1:11" ht="15.5">
      <c r="A108" s="143">
        <v>30000</v>
      </c>
      <c r="B108" s="143">
        <f t="shared" si="6"/>
        <v>6571.7318835869155</v>
      </c>
      <c r="C108" s="143">
        <f t="shared" si="7"/>
        <v>23428.268116413084</v>
      </c>
      <c r="D108" s="143">
        <f t="shared" ref="D108:D128" si="8">+D107-C108</f>
        <v>539863.03619103692</v>
      </c>
      <c r="E108" s="142">
        <f t="shared" ref="E108:E128" si="9">+E107</f>
        <v>14</v>
      </c>
      <c r="F108" s="142">
        <f t="shared" si="4"/>
        <v>66</v>
      </c>
      <c r="G108" s="142"/>
      <c r="H108" s="142"/>
      <c r="I108" s="147"/>
      <c r="J108" s="147"/>
      <c r="K108" s="147"/>
    </row>
    <row r="109" spans="1:11" ht="15.5">
      <c r="A109" s="143">
        <v>30000</v>
      </c>
      <c r="B109" s="143">
        <f t="shared" si="6"/>
        <v>6298.4020888954301</v>
      </c>
      <c r="C109" s="143">
        <f t="shared" si="7"/>
        <v>23701.597911104571</v>
      </c>
      <c r="D109" s="143">
        <f t="shared" si="8"/>
        <v>516161.43827993236</v>
      </c>
      <c r="E109" s="142">
        <f t="shared" si="9"/>
        <v>14</v>
      </c>
      <c r="F109" s="142">
        <f t="shared" ref="F109:F128" si="10">+F108+1</f>
        <v>67</v>
      </c>
      <c r="G109" s="142"/>
      <c r="H109" s="142"/>
      <c r="I109" s="147"/>
      <c r="J109" s="147"/>
      <c r="K109" s="147"/>
    </row>
    <row r="110" spans="1:11" ht="15.5">
      <c r="A110" s="143">
        <v>30000</v>
      </c>
      <c r="B110" s="143">
        <f t="shared" si="6"/>
        <v>6021.8834465992113</v>
      </c>
      <c r="C110" s="143">
        <f t="shared" si="7"/>
        <v>23978.116553400789</v>
      </c>
      <c r="D110" s="143">
        <f t="shared" si="8"/>
        <v>492183.32172653161</v>
      </c>
      <c r="E110" s="142">
        <f t="shared" si="9"/>
        <v>14</v>
      </c>
      <c r="F110" s="142">
        <f t="shared" si="10"/>
        <v>68</v>
      </c>
      <c r="G110" s="142"/>
      <c r="H110" s="142"/>
      <c r="I110" s="147"/>
      <c r="J110" s="147"/>
      <c r="K110" s="147"/>
    </row>
    <row r="111" spans="1:11" ht="15.5">
      <c r="A111" s="143">
        <v>30000</v>
      </c>
      <c r="B111" s="143">
        <f t="shared" si="6"/>
        <v>5742.1387534762025</v>
      </c>
      <c r="C111" s="143">
        <f t="shared" si="7"/>
        <v>24257.861246523797</v>
      </c>
      <c r="D111" s="143">
        <f t="shared" si="8"/>
        <v>467925.46048000781</v>
      </c>
      <c r="E111" s="142">
        <f t="shared" si="9"/>
        <v>14</v>
      </c>
      <c r="F111" s="142">
        <f t="shared" si="10"/>
        <v>69</v>
      </c>
      <c r="G111" s="142"/>
      <c r="H111" s="142"/>
      <c r="I111" s="147"/>
      <c r="J111" s="147"/>
      <c r="K111" s="147"/>
    </row>
    <row r="112" spans="1:11" ht="15.5">
      <c r="A112" s="143">
        <v>30000</v>
      </c>
      <c r="B112" s="143">
        <f t="shared" si="6"/>
        <v>5459.1303722667581</v>
      </c>
      <c r="C112" s="143">
        <f t="shared" si="7"/>
        <v>24540.869627733242</v>
      </c>
      <c r="D112" s="143">
        <f t="shared" si="8"/>
        <v>443384.59085227456</v>
      </c>
      <c r="E112" s="142">
        <f t="shared" si="9"/>
        <v>14</v>
      </c>
      <c r="F112" s="142">
        <f t="shared" si="10"/>
        <v>70</v>
      </c>
      <c r="G112" s="142"/>
      <c r="H112" s="142"/>
      <c r="I112" s="147"/>
      <c r="J112" s="147"/>
      <c r="K112" s="147"/>
    </row>
    <row r="113" spans="1:11" ht="15.5">
      <c r="A113" s="143">
        <v>30000</v>
      </c>
      <c r="B113" s="143">
        <f t="shared" ref="B113:B128" si="11">(+D112*E112/100)/12</f>
        <v>5172.8202266098697</v>
      </c>
      <c r="C113" s="143">
        <f t="shared" si="7"/>
        <v>24827.179773390129</v>
      </c>
      <c r="D113" s="143">
        <f t="shared" si="8"/>
        <v>418557.41107888444</v>
      </c>
      <c r="E113" s="142">
        <f t="shared" si="9"/>
        <v>14</v>
      </c>
      <c r="F113" s="142">
        <f t="shared" si="10"/>
        <v>71</v>
      </c>
      <c r="G113" s="142"/>
      <c r="H113" s="142"/>
      <c r="I113" s="147"/>
      <c r="J113" s="147"/>
      <c r="K113" s="147"/>
    </row>
    <row r="114" spans="1:11" ht="15.5">
      <c r="A114" s="143">
        <v>30000</v>
      </c>
      <c r="B114" s="143">
        <f t="shared" si="11"/>
        <v>4883.1697959203184</v>
      </c>
      <c r="C114" s="143">
        <f t="shared" si="7"/>
        <v>25116.830204079681</v>
      </c>
      <c r="D114" s="143">
        <f t="shared" si="8"/>
        <v>393440.58087480476</v>
      </c>
      <c r="E114" s="142">
        <f t="shared" si="9"/>
        <v>14</v>
      </c>
      <c r="F114" s="142">
        <f t="shared" si="10"/>
        <v>72</v>
      </c>
      <c r="G114" s="142"/>
      <c r="H114" s="142"/>
      <c r="I114" s="147"/>
      <c r="J114" s="147"/>
      <c r="K114" s="147"/>
    </row>
    <row r="115" spans="1:11" ht="15.5">
      <c r="A115" s="143">
        <v>30000</v>
      </c>
      <c r="B115" s="143">
        <f t="shared" si="11"/>
        <v>4590.1401102060554</v>
      </c>
      <c r="C115" s="143">
        <f t="shared" si="7"/>
        <v>25409.859889793945</v>
      </c>
      <c r="D115" s="143">
        <f t="shared" si="8"/>
        <v>368030.72098501079</v>
      </c>
      <c r="E115" s="142">
        <f t="shared" si="9"/>
        <v>14</v>
      </c>
      <c r="F115" s="142">
        <f t="shared" si="10"/>
        <v>73</v>
      </c>
      <c r="G115" s="142"/>
      <c r="H115" s="142"/>
      <c r="I115" s="147"/>
      <c r="J115" s="147"/>
      <c r="K115" s="147"/>
    </row>
    <row r="116" spans="1:11" ht="15.5">
      <c r="A116" s="143">
        <v>30000</v>
      </c>
      <c r="B116" s="143">
        <f t="shared" si="11"/>
        <v>4293.6917448251261</v>
      </c>
      <c r="C116" s="143">
        <f t="shared" si="7"/>
        <v>25706.308255174874</v>
      </c>
      <c r="D116" s="143">
        <f t="shared" si="8"/>
        <v>342324.41272983589</v>
      </c>
      <c r="E116" s="142">
        <f t="shared" si="9"/>
        <v>14</v>
      </c>
      <c r="F116" s="142">
        <f t="shared" si="10"/>
        <v>74</v>
      </c>
      <c r="G116" s="142"/>
      <c r="H116" s="142"/>
      <c r="I116" s="147"/>
      <c r="J116" s="147"/>
      <c r="K116" s="147"/>
    </row>
    <row r="117" spans="1:11" ht="15.5">
      <c r="A117" s="143">
        <v>30000</v>
      </c>
      <c r="B117" s="143">
        <f t="shared" si="11"/>
        <v>3993.7848151814183</v>
      </c>
      <c r="C117" s="143">
        <f t="shared" si="7"/>
        <v>26006.215184818582</v>
      </c>
      <c r="D117" s="143">
        <f t="shared" si="8"/>
        <v>316318.19754501729</v>
      </c>
      <c r="E117" s="142">
        <f t="shared" si="9"/>
        <v>14</v>
      </c>
      <c r="F117" s="142">
        <f t="shared" si="10"/>
        <v>75</v>
      </c>
      <c r="G117" s="142"/>
      <c r="H117" s="142"/>
      <c r="I117" s="147"/>
      <c r="J117" s="147"/>
      <c r="K117" s="147"/>
    </row>
    <row r="118" spans="1:11" ht="15.5">
      <c r="A118" s="143">
        <v>30000</v>
      </c>
      <c r="B118" s="143">
        <f t="shared" si="11"/>
        <v>3690.3789713585356</v>
      </c>
      <c r="C118" s="143">
        <f t="shared" si="7"/>
        <v>26309.621028641464</v>
      </c>
      <c r="D118" s="143">
        <f t="shared" si="8"/>
        <v>290008.57651637582</v>
      </c>
      <c r="E118" s="142">
        <f t="shared" si="9"/>
        <v>14</v>
      </c>
      <c r="F118" s="142">
        <f t="shared" si="10"/>
        <v>76</v>
      </c>
      <c r="G118" s="142"/>
      <c r="H118" s="142"/>
      <c r="I118" s="147"/>
      <c r="J118" s="147"/>
      <c r="K118" s="147"/>
    </row>
    <row r="119" spans="1:11" ht="15.5">
      <c r="A119" s="143">
        <v>30000</v>
      </c>
      <c r="B119" s="143">
        <f t="shared" si="11"/>
        <v>3383.4333926910513</v>
      </c>
      <c r="C119" s="143">
        <f t="shared" si="7"/>
        <v>26616.566607308949</v>
      </c>
      <c r="D119" s="143">
        <f t="shared" si="8"/>
        <v>263392.0099090669</v>
      </c>
      <c r="E119" s="142">
        <f t="shared" si="9"/>
        <v>14</v>
      </c>
      <c r="F119" s="142">
        <f t="shared" si="10"/>
        <v>77</v>
      </c>
      <c r="G119" s="142"/>
      <c r="H119" s="142"/>
      <c r="I119" s="147"/>
      <c r="J119" s="147"/>
      <c r="K119" s="147"/>
    </row>
    <row r="120" spans="1:11" ht="15.5">
      <c r="A120" s="143">
        <v>30000</v>
      </c>
      <c r="B120" s="143">
        <f t="shared" si="11"/>
        <v>3072.9067822724469</v>
      </c>
      <c r="C120" s="143">
        <f t="shared" si="7"/>
        <v>26927.093217727554</v>
      </c>
      <c r="D120" s="143">
        <f t="shared" si="8"/>
        <v>236464.91669133934</v>
      </c>
      <c r="E120" s="142">
        <f t="shared" si="9"/>
        <v>14</v>
      </c>
      <c r="F120" s="142">
        <f t="shared" si="10"/>
        <v>78</v>
      </c>
      <c r="G120" s="142"/>
      <c r="H120" s="142"/>
      <c r="I120" s="147"/>
      <c r="J120" s="147"/>
      <c r="K120" s="147"/>
    </row>
    <row r="121" spans="1:11" ht="15.5">
      <c r="A121" s="143">
        <v>30000</v>
      </c>
      <c r="B121" s="143">
        <f t="shared" si="11"/>
        <v>2758.7573613989589</v>
      </c>
      <c r="C121" s="143">
        <f t="shared" si="7"/>
        <v>27241.242638601041</v>
      </c>
      <c r="D121" s="143">
        <f t="shared" si="8"/>
        <v>209223.67405273829</v>
      </c>
      <c r="E121" s="142">
        <f t="shared" si="9"/>
        <v>14</v>
      </c>
      <c r="F121" s="142">
        <f t="shared" si="10"/>
        <v>79</v>
      </c>
      <c r="G121" s="142"/>
      <c r="H121" s="142"/>
      <c r="I121" s="147"/>
      <c r="J121" s="147"/>
      <c r="K121" s="147"/>
    </row>
    <row r="122" spans="1:11" ht="15.5">
      <c r="A122" s="143">
        <v>30000</v>
      </c>
      <c r="B122" s="143">
        <f t="shared" si="11"/>
        <v>2440.9428639486132</v>
      </c>
      <c r="C122" s="143">
        <f t="shared" si="7"/>
        <v>27559.057136051386</v>
      </c>
      <c r="D122" s="143">
        <f t="shared" si="8"/>
        <v>181664.61691668691</v>
      </c>
      <c r="E122" s="142">
        <f t="shared" si="9"/>
        <v>14</v>
      </c>
      <c r="F122" s="142">
        <f t="shared" si="10"/>
        <v>80</v>
      </c>
      <c r="G122" s="142"/>
      <c r="H122" s="142"/>
      <c r="I122" s="147"/>
      <c r="J122" s="147"/>
      <c r="K122" s="147"/>
    </row>
    <row r="123" spans="1:11" ht="15.5">
      <c r="A123" s="143">
        <v>30000</v>
      </c>
      <c r="B123" s="143">
        <f t="shared" si="11"/>
        <v>2119.4205306946806</v>
      </c>
      <c r="C123" s="143">
        <f t="shared" si="7"/>
        <v>27880.579469305318</v>
      </c>
      <c r="D123" s="143">
        <f t="shared" si="8"/>
        <v>153784.03744738159</v>
      </c>
      <c r="E123" s="142">
        <f t="shared" si="9"/>
        <v>14</v>
      </c>
      <c r="F123" s="142">
        <f t="shared" si="10"/>
        <v>81</v>
      </c>
      <c r="G123" s="142"/>
      <c r="H123" s="142"/>
      <c r="I123" s="147"/>
      <c r="J123" s="147"/>
      <c r="K123" s="147"/>
    </row>
    <row r="124" spans="1:11" ht="15.5">
      <c r="A124" s="143">
        <v>30000</v>
      </c>
      <c r="B124" s="143">
        <f t="shared" si="11"/>
        <v>1794.1471035527854</v>
      </c>
      <c r="C124" s="143">
        <f t="shared" si="7"/>
        <v>28205.852896447213</v>
      </c>
      <c r="D124" s="143">
        <f t="shared" si="8"/>
        <v>125578.18455093438</v>
      </c>
      <c r="E124" s="142">
        <f t="shared" si="9"/>
        <v>14</v>
      </c>
      <c r="F124" s="142">
        <f t="shared" si="10"/>
        <v>82</v>
      </c>
      <c r="G124" s="142"/>
      <c r="H124" s="142"/>
      <c r="I124" s="147"/>
      <c r="J124" s="147"/>
      <c r="K124" s="147"/>
    </row>
    <row r="125" spans="1:11" ht="15.5">
      <c r="A125" s="143">
        <v>30000</v>
      </c>
      <c r="B125" s="143">
        <f t="shared" si="11"/>
        <v>1465.0788197609011</v>
      </c>
      <c r="C125" s="143">
        <f t="shared" si="7"/>
        <v>28534.9211802391</v>
      </c>
      <c r="D125" s="143">
        <f t="shared" si="8"/>
        <v>97043.263370695291</v>
      </c>
      <c r="E125" s="142">
        <f t="shared" si="9"/>
        <v>14</v>
      </c>
      <c r="F125" s="142">
        <f t="shared" si="10"/>
        <v>83</v>
      </c>
      <c r="G125" s="142"/>
      <c r="H125" s="142"/>
      <c r="I125" s="147"/>
      <c r="J125" s="147"/>
      <c r="K125" s="147"/>
    </row>
    <row r="126" spans="1:11" ht="15.5">
      <c r="A126" s="143">
        <v>30000</v>
      </c>
      <c r="B126" s="143">
        <f t="shared" si="11"/>
        <v>1132.171405991445</v>
      </c>
      <c r="C126" s="143">
        <f t="shared" si="7"/>
        <v>28867.828594008555</v>
      </c>
      <c r="D126" s="143">
        <f t="shared" si="8"/>
        <v>68175.434776686743</v>
      </c>
      <c r="E126" s="142">
        <f t="shared" si="9"/>
        <v>14</v>
      </c>
      <c r="F126" s="142">
        <f t="shared" si="10"/>
        <v>84</v>
      </c>
      <c r="G126" s="142"/>
      <c r="H126" s="142"/>
      <c r="I126" s="147"/>
      <c r="J126" s="147"/>
      <c r="K126" s="147"/>
    </row>
    <row r="127" spans="1:11" ht="15.5">
      <c r="A127" s="143">
        <v>30000</v>
      </c>
      <c r="B127" s="143">
        <f t="shared" si="11"/>
        <v>795.38007239467879</v>
      </c>
      <c r="C127" s="143">
        <f t="shared" si="7"/>
        <v>29204.619927605323</v>
      </c>
      <c r="D127" s="143">
        <f t="shared" si="8"/>
        <v>38970.81484908142</v>
      </c>
      <c r="E127" s="142">
        <f t="shared" si="9"/>
        <v>14</v>
      </c>
      <c r="F127" s="142">
        <f t="shared" si="10"/>
        <v>85</v>
      </c>
      <c r="G127" s="142"/>
      <c r="H127" s="142"/>
      <c r="I127" s="147"/>
      <c r="J127" s="147"/>
      <c r="K127" s="147"/>
    </row>
    <row r="128" spans="1:11" ht="15.5">
      <c r="A128" s="143">
        <v>30000</v>
      </c>
      <c r="B128" s="143">
        <f t="shared" si="11"/>
        <v>454.65950657261652</v>
      </c>
      <c r="C128" s="143">
        <f t="shared" si="7"/>
        <v>29545.340493427382</v>
      </c>
      <c r="D128" s="143">
        <f t="shared" si="8"/>
        <v>9425.4743556540379</v>
      </c>
      <c r="E128" s="142">
        <f t="shared" si="9"/>
        <v>14</v>
      </c>
      <c r="F128" s="142">
        <f t="shared" si="10"/>
        <v>86</v>
      </c>
      <c r="G128" s="142"/>
      <c r="H128" s="142"/>
      <c r="I128" s="147"/>
      <c r="J128" s="147"/>
      <c r="K128" s="147"/>
    </row>
    <row r="129" spans="1:11" ht="15.5">
      <c r="A129" s="143"/>
      <c r="B129" s="143"/>
      <c r="C129" s="143"/>
      <c r="D129" s="143"/>
      <c r="E129" s="142"/>
      <c r="F129" s="142"/>
      <c r="G129" s="142"/>
      <c r="H129" s="142"/>
      <c r="I129" s="147"/>
      <c r="J129" s="147"/>
      <c r="K129" s="147"/>
    </row>
    <row r="130" spans="1:11" ht="15.5">
      <c r="A130" s="143"/>
      <c r="B130" s="143"/>
      <c r="C130" s="143"/>
      <c r="D130" s="143"/>
      <c r="E130" s="142"/>
      <c r="F130" s="142"/>
      <c r="G130" s="142"/>
      <c r="H130" s="142"/>
      <c r="I130" s="147"/>
      <c r="J130" s="147"/>
      <c r="K130" s="147"/>
    </row>
    <row r="131" spans="1:11">
      <c r="A131" s="148"/>
      <c r="B131" s="148"/>
      <c r="C131" s="148"/>
      <c r="D131" s="148"/>
      <c r="E131" s="43"/>
      <c r="F131" s="43"/>
      <c r="G131" s="43"/>
      <c r="H131" s="43"/>
      <c r="I131" s="14"/>
      <c r="J131" s="14"/>
      <c r="K131" s="14"/>
    </row>
    <row r="132" spans="1:11">
      <c r="A132" s="148"/>
      <c r="B132" s="148"/>
      <c r="C132" s="148"/>
      <c r="D132" s="148"/>
      <c r="E132" s="43"/>
      <c r="F132" s="43"/>
      <c r="G132" s="43"/>
      <c r="H132" s="43"/>
      <c r="I132" s="14"/>
      <c r="J132" s="14"/>
      <c r="K132" s="14"/>
    </row>
    <row r="136" spans="1:11">
      <c r="B136" t="s">
        <v>937</v>
      </c>
      <c r="C136">
        <v>1931600</v>
      </c>
    </row>
    <row r="137" spans="1:11">
      <c r="B137" t="s">
        <v>985</v>
      </c>
      <c r="C137">
        <v>193166</v>
      </c>
    </row>
    <row r="139" spans="1:11">
      <c r="C139">
        <f>+C136-C137</f>
        <v>1738434</v>
      </c>
    </row>
  </sheetData>
  <mergeCells count="2">
    <mergeCell ref="A1:D1"/>
    <mergeCell ref="A39:I39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7"/>
  <sheetViews>
    <sheetView topLeftCell="A35" workbookViewId="0">
      <selection activeCell="I43" sqref="I43"/>
    </sheetView>
  </sheetViews>
  <sheetFormatPr baseColWidth="10" defaultRowHeight="14.5"/>
  <cols>
    <col min="2" max="2" width="13.81640625" customWidth="1"/>
    <col min="4" max="4" width="13.26953125" customWidth="1"/>
  </cols>
  <sheetData>
    <row r="1" spans="1:5">
      <c r="A1" s="211" t="s">
        <v>867</v>
      </c>
      <c r="B1" s="211"/>
      <c r="C1" s="211"/>
      <c r="D1" s="211"/>
    </row>
    <row r="2" spans="1:5">
      <c r="A2" s="140" t="s">
        <v>1</v>
      </c>
      <c r="B2" s="140" t="s">
        <v>2</v>
      </c>
      <c r="C2" s="140" t="s">
        <v>862</v>
      </c>
      <c r="D2" s="140" t="s">
        <v>863</v>
      </c>
    </row>
    <row r="3" spans="1:5">
      <c r="A3" s="13">
        <v>45805</v>
      </c>
      <c r="B3" s="12">
        <v>1972000</v>
      </c>
      <c r="C3" s="14" t="s">
        <v>864</v>
      </c>
      <c r="D3" s="12">
        <v>1972000</v>
      </c>
    </row>
    <row r="4" spans="1:5">
      <c r="A4" s="13">
        <v>45805</v>
      </c>
      <c r="B4" s="12">
        <v>200000</v>
      </c>
      <c r="C4" s="14" t="s">
        <v>865</v>
      </c>
      <c r="D4" s="12">
        <f>+D3-B4</f>
        <v>1772000</v>
      </c>
    </row>
    <row r="5" spans="1:5">
      <c r="A5" s="13">
        <v>45836</v>
      </c>
      <c r="B5" s="12">
        <v>15000</v>
      </c>
      <c r="C5" s="14" t="s">
        <v>869</v>
      </c>
      <c r="D5" s="12">
        <f t="shared" ref="D5:D28" si="0">+D4-B5</f>
        <v>1757000</v>
      </c>
      <c r="E5" t="s">
        <v>870</v>
      </c>
    </row>
    <row r="6" spans="1:5">
      <c r="A6" s="14"/>
      <c r="B6" s="12"/>
      <c r="C6" s="14"/>
      <c r="D6" s="12">
        <f t="shared" si="0"/>
        <v>1757000</v>
      </c>
    </row>
    <row r="7" spans="1:5">
      <c r="A7" s="14"/>
      <c r="B7" s="12"/>
      <c r="C7" s="14"/>
      <c r="D7" s="12">
        <f t="shared" si="0"/>
        <v>1757000</v>
      </c>
    </row>
    <row r="8" spans="1:5">
      <c r="A8" s="14"/>
      <c r="B8" s="12"/>
      <c r="C8" s="14"/>
      <c r="D8" s="12">
        <f t="shared" si="0"/>
        <v>1757000</v>
      </c>
    </row>
    <row r="9" spans="1:5">
      <c r="A9" s="14"/>
      <c r="B9" s="12"/>
      <c r="C9" s="14"/>
      <c r="D9" s="12">
        <f t="shared" si="0"/>
        <v>1757000</v>
      </c>
    </row>
    <row r="10" spans="1:5">
      <c r="A10" s="14"/>
      <c r="B10" s="12"/>
      <c r="C10" s="14"/>
      <c r="D10" s="12">
        <f t="shared" si="0"/>
        <v>1757000</v>
      </c>
    </row>
    <row r="11" spans="1:5">
      <c r="A11" s="14"/>
      <c r="B11" s="12"/>
      <c r="C11" s="14"/>
      <c r="D11" s="12">
        <f t="shared" si="0"/>
        <v>1757000</v>
      </c>
    </row>
    <row r="12" spans="1:5">
      <c r="A12" s="14"/>
      <c r="B12" s="12"/>
      <c r="C12" s="14"/>
      <c r="D12" s="12">
        <f t="shared" si="0"/>
        <v>1757000</v>
      </c>
    </row>
    <row r="13" spans="1:5">
      <c r="A13" s="14"/>
      <c r="B13" s="12"/>
      <c r="C13" s="14"/>
      <c r="D13" s="12">
        <f t="shared" si="0"/>
        <v>1757000</v>
      </c>
    </row>
    <row r="14" spans="1:5">
      <c r="A14" s="14"/>
      <c r="B14" s="12"/>
      <c r="C14" s="14"/>
      <c r="D14" s="12">
        <f t="shared" si="0"/>
        <v>1757000</v>
      </c>
    </row>
    <row r="15" spans="1:5">
      <c r="A15" s="14"/>
      <c r="B15" s="12"/>
      <c r="C15" s="14"/>
      <c r="D15" s="12">
        <f t="shared" si="0"/>
        <v>1757000</v>
      </c>
    </row>
    <row r="16" spans="1:5">
      <c r="A16" s="14"/>
      <c r="B16" s="12"/>
      <c r="C16" s="14"/>
      <c r="D16" s="12">
        <f t="shared" si="0"/>
        <v>1757000</v>
      </c>
    </row>
    <row r="17" spans="1:4">
      <c r="A17" s="14"/>
      <c r="B17" s="12"/>
      <c r="C17" s="14"/>
      <c r="D17" s="12">
        <f t="shared" si="0"/>
        <v>1757000</v>
      </c>
    </row>
    <row r="18" spans="1:4">
      <c r="A18" s="14"/>
      <c r="B18" s="12"/>
      <c r="C18" s="14"/>
      <c r="D18" s="12">
        <f t="shared" si="0"/>
        <v>1757000</v>
      </c>
    </row>
    <row r="19" spans="1:4">
      <c r="A19" s="14"/>
      <c r="B19" s="12"/>
      <c r="C19" s="14"/>
      <c r="D19" s="12">
        <f t="shared" si="0"/>
        <v>1757000</v>
      </c>
    </row>
    <row r="20" spans="1:4">
      <c r="A20" s="14"/>
      <c r="B20" s="12"/>
      <c r="C20" s="14"/>
      <c r="D20" s="12">
        <f t="shared" si="0"/>
        <v>1757000</v>
      </c>
    </row>
    <row r="21" spans="1:4">
      <c r="A21" s="14"/>
      <c r="B21" s="12"/>
      <c r="C21" s="14"/>
      <c r="D21" s="12">
        <f t="shared" si="0"/>
        <v>1757000</v>
      </c>
    </row>
    <row r="22" spans="1:4">
      <c r="A22" s="14"/>
      <c r="B22" s="12"/>
      <c r="C22" s="14"/>
      <c r="D22" s="12">
        <f t="shared" si="0"/>
        <v>1757000</v>
      </c>
    </row>
    <row r="23" spans="1:4">
      <c r="A23" s="14"/>
      <c r="B23" s="12"/>
      <c r="C23" s="14"/>
      <c r="D23" s="12">
        <f t="shared" si="0"/>
        <v>1757000</v>
      </c>
    </row>
    <row r="24" spans="1:4">
      <c r="A24" s="14"/>
      <c r="B24" s="12"/>
      <c r="C24" s="14"/>
      <c r="D24" s="12">
        <f t="shared" si="0"/>
        <v>1757000</v>
      </c>
    </row>
    <row r="25" spans="1:4">
      <c r="B25" s="12"/>
      <c r="D25" s="12">
        <f t="shared" si="0"/>
        <v>1757000</v>
      </c>
    </row>
    <row r="26" spans="1:4">
      <c r="B26" s="12"/>
      <c r="D26" s="12">
        <f t="shared" si="0"/>
        <v>1757000</v>
      </c>
    </row>
    <row r="27" spans="1:4">
      <c r="B27" s="12"/>
      <c r="D27" s="12">
        <f t="shared" si="0"/>
        <v>1757000</v>
      </c>
    </row>
    <row r="28" spans="1:4">
      <c r="D28" s="12">
        <f t="shared" si="0"/>
        <v>1757000</v>
      </c>
    </row>
    <row r="29" spans="1:4">
      <c r="D29" s="12"/>
    </row>
    <row r="34" spans="1:9">
      <c r="A34" s="213" t="s">
        <v>884</v>
      </c>
      <c r="B34" s="213"/>
      <c r="C34" s="213"/>
      <c r="D34" s="213"/>
      <c r="E34" s="213"/>
      <c r="F34" s="213"/>
      <c r="G34" s="213"/>
      <c r="H34" s="213"/>
      <c r="I34" s="213"/>
    </row>
    <row r="35" spans="1:9">
      <c r="A35" s="43" t="s">
        <v>874</v>
      </c>
      <c r="C35" s="43" t="s">
        <v>875</v>
      </c>
      <c r="D35" s="43"/>
      <c r="E35" s="43"/>
      <c r="F35" s="43"/>
      <c r="G35" s="153"/>
      <c r="H35" s="153"/>
      <c r="I35" s="153"/>
    </row>
    <row r="36" spans="1:9">
      <c r="A36" s="43">
        <v>1772000</v>
      </c>
      <c r="C36" s="43"/>
      <c r="D36" s="150"/>
      <c r="E36" s="150">
        <v>10.14</v>
      </c>
      <c r="F36" s="150"/>
      <c r="G36" s="153"/>
      <c r="H36" s="153"/>
      <c r="I36" s="153"/>
    </row>
    <row r="37" spans="1:9">
      <c r="A37" s="151" t="s">
        <v>876</v>
      </c>
      <c r="B37" s="151" t="s">
        <v>877</v>
      </c>
      <c r="C37" s="151" t="s">
        <v>878</v>
      </c>
      <c r="D37" s="151" t="s">
        <v>879</v>
      </c>
      <c r="E37" s="151" t="s">
        <v>880</v>
      </c>
      <c r="F37" s="151" t="s">
        <v>881</v>
      </c>
      <c r="G37" s="151" t="s">
        <v>882</v>
      </c>
      <c r="H37" s="151" t="s">
        <v>1029</v>
      </c>
      <c r="I37" s="151" t="s">
        <v>949</v>
      </c>
    </row>
    <row r="38" spans="1:9">
      <c r="A38" s="148">
        <v>15000</v>
      </c>
      <c r="B38" s="148">
        <f>+A36*E38/100/12</f>
        <v>14973.4</v>
      </c>
      <c r="C38" s="148">
        <f t="shared" ref="C38:C101" si="1">+A38-B38</f>
        <v>26.600000000000364</v>
      </c>
      <c r="D38" s="148">
        <f>+A36-C38</f>
        <v>1771973.4</v>
      </c>
      <c r="E38" s="43">
        <f>+E36</f>
        <v>10.14</v>
      </c>
      <c r="F38" s="43">
        <v>1</v>
      </c>
      <c r="G38" s="13">
        <v>45838</v>
      </c>
      <c r="H38" s="152">
        <v>45838</v>
      </c>
      <c r="I38" s="148" t="s">
        <v>951</v>
      </c>
    </row>
    <row r="39" spans="1:9">
      <c r="A39" s="148">
        <v>15000</v>
      </c>
      <c r="B39" s="148">
        <f t="shared" ref="B39:B102" si="2">(+D38*E38/100)/12</f>
        <v>14973.175230000001</v>
      </c>
      <c r="C39" s="148">
        <f t="shared" si="1"/>
        <v>26.824769999999262</v>
      </c>
      <c r="D39" s="148">
        <f t="shared" ref="D39:D102" si="3">+D38-C39</f>
        <v>1771946.5752299998</v>
      </c>
      <c r="E39" s="43">
        <f t="shared" ref="E39:E102" si="4">+E38</f>
        <v>10.14</v>
      </c>
      <c r="F39" s="43">
        <f>+F38+1</f>
        <v>2</v>
      </c>
      <c r="G39" s="13">
        <v>45868</v>
      </c>
      <c r="H39" s="158">
        <v>45868</v>
      </c>
      <c r="I39" s="148" t="s">
        <v>951</v>
      </c>
    </row>
    <row r="40" spans="1:9">
      <c r="A40" s="148">
        <v>15000</v>
      </c>
      <c r="B40" s="148">
        <f t="shared" si="2"/>
        <v>14972.9485606935</v>
      </c>
      <c r="C40" s="148">
        <f t="shared" si="1"/>
        <v>27.05143930650047</v>
      </c>
      <c r="D40" s="148">
        <f t="shared" si="3"/>
        <v>1771919.5237906934</v>
      </c>
      <c r="E40" s="43">
        <f t="shared" si="4"/>
        <v>10.14</v>
      </c>
      <c r="F40" s="43">
        <f t="shared" ref="F40:F103" si="5">+F39+1</f>
        <v>3</v>
      </c>
      <c r="G40" s="13">
        <v>45899</v>
      </c>
      <c r="H40" s="158">
        <v>45899</v>
      </c>
      <c r="I40" s="148" t="s">
        <v>951</v>
      </c>
    </row>
    <row r="41" spans="1:9">
      <c r="A41" s="148">
        <v>15000</v>
      </c>
      <c r="B41" s="148">
        <f t="shared" si="2"/>
        <v>14972.719976031362</v>
      </c>
      <c r="C41" s="148">
        <f t="shared" si="1"/>
        <v>27.280023968638488</v>
      </c>
      <c r="D41" s="148">
        <f t="shared" si="3"/>
        <v>1771892.2437667248</v>
      </c>
      <c r="E41" s="43">
        <f t="shared" si="4"/>
        <v>10.14</v>
      </c>
      <c r="F41" s="43">
        <f t="shared" si="5"/>
        <v>4</v>
      </c>
      <c r="G41" s="13">
        <v>45930</v>
      </c>
      <c r="H41" s="158">
        <v>45930</v>
      </c>
      <c r="I41" s="148" t="s">
        <v>951</v>
      </c>
    </row>
    <row r="42" spans="1:9">
      <c r="A42" s="148">
        <v>15000</v>
      </c>
      <c r="B42" s="148">
        <f t="shared" si="2"/>
        <v>14972.489459828825</v>
      </c>
      <c r="C42" s="148">
        <f t="shared" si="1"/>
        <v>27.510540171175307</v>
      </c>
      <c r="D42" s="148">
        <f t="shared" si="3"/>
        <v>1771864.7332265538</v>
      </c>
      <c r="E42" s="43">
        <f t="shared" si="4"/>
        <v>10.14</v>
      </c>
      <c r="F42" s="43">
        <f t="shared" si="5"/>
        <v>5</v>
      </c>
      <c r="G42" s="13">
        <v>45960</v>
      </c>
      <c r="H42" s="158">
        <v>45960</v>
      </c>
      <c r="I42" s="148" t="s">
        <v>951</v>
      </c>
    </row>
    <row r="43" spans="1:9">
      <c r="A43" s="148">
        <v>15000</v>
      </c>
      <c r="B43" s="148">
        <f t="shared" si="2"/>
        <v>14972.256995764381</v>
      </c>
      <c r="C43" s="148">
        <f t="shared" si="1"/>
        <v>27.743004235619082</v>
      </c>
      <c r="D43" s="148">
        <f t="shared" si="3"/>
        <v>1771836.9902223181</v>
      </c>
      <c r="E43" s="43">
        <f t="shared" si="4"/>
        <v>10.14</v>
      </c>
      <c r="F43" s="43">
        <f t="shared" si="5"/>
        <v>6</v>
      </c>
      <c r="G43" s="13">
        <v>45991</v>
      </c>
      <c r="H43" s="158">
        <v>45991</v>
      </c>
      <c r="I43" s="148" t="s">
        <v>951</v>
      </c>
    </row>
    <row r="44" spans="1:9">
      <c r="A44" s="148">
        <v>15000</v>
      </c>
      <c r="B44" s="148">
        <f t="shared" si="2"/>
        <v>14972.02256737859</v>
      </c>
      <c r="C44" s="148">
        <f t="shared" si="1"/>
        <v>27.977432621410117</v>
      </c>
      <c r="D44" s="148">
        <f t="shared" si="3"/>
        <v>1771809.0127896967</v>
      </c>
      <c r="E44" s="43">
        <f t="shared" si="4"/>
        <v>10.14</v>
      </c>
      <c r="F44" s="43">
        <f t="shared" si="5"/>
        <v>7</v>
      </c>
      <c r="G44" s="13">
        <v>46021</v>
      </c>
      <c r="H44" s="43"/>
      <c r="I44" s="148"/>
    </row>
    <row r="45" spans="1:9">
      <c r="A45" s="148">
        <v>15000</v>
      </c>
      <c r="B45" s="148">
        <f t="shared" si="2"/>
        <v>14971.786158072939</v>
      </c>
      <c r="C45" s="148">
        <f t="shared" si="1"/>
        <v>28.213841927061367</v>
      </c>
      <c r="D45" s="148">
        <f t="shared" si="3"/>
        <v>1771780.7989477697</v>
      </c>
      <c r="E45" s="43">
        <f t="shared" si="4"/>
        <v>10.14</v>
      </c>
      <c r="F45" s="43">
        <f t="shared" si="5"/>
        <v>8</v>
      </c>
      <c r="G45" s="43"/>
      <c r="H45" s="43"/>
      <c r="I45" s="148"/>
    </row>
    <row r="46" spans="1:9">
      <c r="A46" s="148">
        <v>15000</v>
      </c>
      <c r="B46" s="148">
        <f t="shared" si="2"/>
        <v>14971.547751108652</v>
      </c>
      <c r="C46" s="148">
        <f t="shared" si="1"/>
        <v>28.452248891348063</v>
      </c>
      <c r="D46" s="148">
        <f t="shared" si="3"/>
        <v>1771752.3466988783</v>
      </c>
      <c r="E46" s="43">
        <f t="shared" si="4"/>
        <v>10.14</v>
      </c>
      <c r="F46" s="43">
        <f t="shared" si="5"/>
        <v>9</v>
      </c>
      <c r="G46" s="43"/>
      <c r="H46" s="43"/>
      <c r="I46" s="148"/>
    </row>
    <row r="47" spans="1:9">
      <c r="A47" s="148">
        <v>15000</v>
      </c>
      <c r="B47" s="148">
        <f t="shared" si="2"/>
        <v>14971.307329605523</v>
      </c>
      <c r="C47" s="148">
        <f t="shared" si="1"/>
        <v>28.692670394477318</v>
      </c>
      <c r="D47" s="148">
        <f t="shared" si="3"/>
        <v>1771723.6540284839</v>
      </c>
      <c r="E47" s="43">
        <f t="shared" si="4"/>
        <v>10.14</v>
      </c>
      <c r="F47" s="43">
        <f t="shared" si="5"/>
        <v>10</v>
      </c>
      <c r="G47" s="43"/>
      <c r="H47" s="43"/>
      <c r="I47" s="148"/>
    </row>
    <row r="48" spans="1:9">
      <c r="A48" s="148">
        <v>15000</v>
      </c>
      <c r="B48" s="148">
        <f t="shared" si="2"/>
        <v>14971.06487654069</v>
      </c>
      <c r="C48" s="148">
        <f t="shared" si="1"/>
        <v>28.935123459310489</v>
      </c>
      <c r="D48" s="148">
        <f t="shared" si="3"/>
        <v>1771694.7189050247</v>
      </c>
      <c r="E48" s="43">
        <f t="shared" si="4"/>
        <v>10.14</v>
      </c>
      <c r="F48" s="43">
        <f t="shared" si="5"/>
        <v>11</v>
      </c>
      <c r="G48" s="43"/>
      <c r="H48" s="43"/>
      <c r="I48" s="148"/>
    </row>
    <row r="49" spans="1:9">
      <c r="A49" s="148">
        <v>15000</v>
      </c>
      <c r="B49" s="148">
        <f t="shared" si="2"/>
        <v>14970.82037474746</v>
      </c>
      <c r="C49" s="148">
        <f t="shared" si="1"/>
        <v>29.179625252540063</v>
      </c>
      <c r="D49" s="148">
        <f t="shared" si="3"/>
        <v>1771665.5392797722</v>
      </c>
      <c r="E49" s="43">
        <f t="shared" si="4"/>
        <v>10.14</v>
      </c>
      <c r="F49" s="43">
        <f t="shared" si="5"/>
        <v>12</v>
      </c>
      <c r="G49" s="43"/>
      <c r="H49" s="43"/>
      <c r="I49" s="148"/>
    </row>
    <row r="50" spans="1:9">
      <c r="A50" s="148">
        <v>15000</v>
      </c>
      <c r="B50" s="148">
        <f t="shared" si="2"/>
        <v>14970.573806914077</v>
      </c>
      <c r="C50" s="148">
        <f t="shared" si="1"/>
        <v>29.426193085922932</v>
      </c>
      <c r="D50" s="148">
        <f t="shared" si="3"/>
        <v>1771636.1130866862</v>
      </c>
      <c r="E50" s="43">
        <f t="shared" si="4"/>
        <v>10.14</v>
      </c>
      <c r="F50" s="43">
        <f t="shared" si="5"/>
        <v>13</v>
      </c>
      <c r="G50" s="43"/>
      <c r="H50" s="43"/>
      <c r="I50" s="148"/>
    </row>
    <row r="51" spans="1:9">
      <c r="A51" s="148">
        <v>15000</v>
      </c>
      <c r="B51" s="148">
        <f t="shared" si="2"/>
        <v>14970.325155582499</v>
      </c>
      <c r="C51" s="148">
        <f t="shared" si="1"/>
        <v>29.674844417500935</v>
      </c>
      <c r="D51" s="148">
        <f t="shared" si="3"/>
        <v>1771606.4382422687</v>
      </c>
      <c r="E51" s="43">
        <f t="shared" si="4"/>
        <v>10.14</v>
      </c>
      <c r="F51" s="43">
        <f t="shared" si="5"/>
        <v>14</v>
      </c>
      <c r="G51" s="43"/>
      <c r="H51" s="43"/>
      <c r="I51" s="148"/>
    </row>
    <row r="52" spans="1:9">
      <c r="A52" s="148">
        <v>15000</v>
      </c>
      <c r="B52" s="148">
        <f t="shared" si="2"/>
        <v>14970.074403147171</v>
      </c>
      <c r="C52" s="148">
        <f t="shared" si="1"/>
        <v>29.925596852828676</v>
      </c>
      <c r="D52" s="148">
        <f t="shared" si="3"/>
        <v>1771576.512645416</v>
      </c>
      <c r="E52" s="43">
        <f t="shared" si="4"/>
        <v>10.14</v>
      </c>
      <c r="F52" s="43">
        <f t="shared" si="5"/>
        <v>15</v>
      </c>
      <c r="G52" s="43"/>
      <c r="H52" s="43"/>
      <c r="I52" s="148"/>
    </row>
    <row r="53" spans="1:9">
      <c r="A53" s="148">
        <v>15000</v>
      </c>
      <c r="B53" s="148">
        <f t="shared" si="2"/>
        <v>14969.821531853764</v>
      </c>
      <c r="C53" s="148">
        <f t="shared" si="1"/>
        <v>30.1784681462359</v>
      </c>
      <c r="D53" s="148">
        <f t="shared" si="3"/>
        <v>1771546.3341772698</v>
      </c>
      <c r="E53" s="43">
        <f t="shared" si="4"/>
        <v>10.14</v>
      </c>
      <c r="F53" s="43">
        <f t="shared" si="5"/>
        <v>16</v>
      </c>
      <c r="G53" s="43"/>
      <c r="H53" s="43"/>
      <c r="I53" s="148"/>
    </row>
    <row r="54" spans="1:9">
      <c r="A54" s="148">
        <v>15000</v>
      </c>
      <c r="B54" s="148">
        <f t="shared" si="2"/>
        <v>14969.566523797932</v>
      </c>
      <c r="C54" s="148">
        <f t="shared" si="1"/>
        <v>30.43347620206805</v>
      </c>
      <c r="D54" s="148">
        <f t="shared" si="3"/>
        <v>1771515.9007010679</v>
      </c>
      <c r="E54" s="43">
        <f t="shared" si="4"/>
        <v>10.14</v>
      </c>
      <c r="F54" s="43">
        <f t="shared" si="5"/>
        <v>17</v>
      </c>
      <c r="G54" s="43"/>
      <c r="H54" s="43"/>
      <c r="I54" s="148"/>
    </row>
    <row r="55" spans="1:9">
      <c r="A55" s="148">
        <v>15000</v>
      </c>
      <c r="B55" s="148">
        <f t="shared" si="2"/>
        <v>14969.309360924024</v>
      </c>
      <c r="C55" s="148">
        <f t="shared" si="1"/>
        <v>30.690639075975923</v>
      </c>
      <c r="D55" s="148">
        <f t="shared" si="3"/>
        <v>1771485.2100619918</v>
      </c>
      <c r="E55" s="43">
        <f t="shared" si="4"/>
        <v>10.14</v>
      </c>
      <c r="F55" s="43">
        <f t="shared" si="5"/>
        <v>18</v>
      </c>
      <c r="G55" s="43"/>
      <c r="H55" s="43"/>
      <c r="I55" s="148"/>
    </row>
    <row r="56" spans="1:9">
      <c r="A56" s="148">
        <v>15000</v>
      </c>
      <c r="B56" s="148">
        <f t="shared" si="2"/>
        <v>14969.050025023831</v>
      </c>
      <c r="C56" s="148">
        <f t="shared" si="1"/>
        <v>30.94997497616896</v>
      </c>
      <c r="D56" s="148">
        <f t="shared" si="3"/>
        <v>1771454.2600870156</v>
      </c>
      <c r="E56" s="43">
        <f t="shared" si="4"/>
        <v>10.14</v>
      </c>
      <c r="F56" s="43">
        <f t="shared" si="5"/>
        <v>19</v>
      </c>
      <c r="G56" s="43"/>
      <c r="H56" s="43"/>
      <c r="I56" s="148"/>
    </row>
    <row r="57" spans="1:9">
      <c r="A57" s="148">
        <v>15000</v>
      </c>
      <c r="B57" s="148">
        <f t="shared" si="2"/>
        <v>14968.788497735282</v>
      </c>
      <c r="C57" s="148">
        <f t="shared" si="1"/>
        <v>31.211502264717637</v>
      </c>
      <c r="D57" s="148">
        <f t="shared" si="3"/>
        <v>1771423.0485847509</v>
      </c>
      <c r="E57" s="43">
        <f t="shared" si="4"/>
        <v>10.14</v>
      </c>
      <c r="F57" s="43">
        <f t="shared" si="5"/>
        <v>20</v>
      </c>
      <c r="G57" s="43"/>
      <c r="H57" s="43"/>
      <c r="I57" s="148"/>
    </row>
    <row r="58" spans="1:9">
      <c r="A58" s="148">
        <v>15000</v>
      </c>
      <c r="B58" s="148">
        <f t="shared" si="2"/>
        <v>14968.524760541148</v>
      </c>
      <c r="C58" s="148">
        <f t="shared" si="1"/>
        <v>31.475239458852229</v>
      </c>
      <c r="D58" s="148">
        <f t="shared" si="3"/>
        <v>1771391.5733452919</v>
      </c>
      <c r="E58" s="43">
        <f t="shared" si="4"/>
        <v>10.14</v>
      </c>
      <c r="F58" s="43">
        <f t="shared" si="5"/>
        <v>21</v>
      </c>
      <c r="G58" s="43"/>
      <c r="H58" s="43"/>
      <c r="I58" s="148"/>
    </row>
    <row r="59" spans="1:9">
      <c r="A59" s="148">
        <v>15000</v>
      </c>
      <c r="B59" s="148">
        <f t="shared" si="2"/>
        <v>14968.258794767717</v>
      </c>
      <c r="C59" s="148">
        <f t="shared" si="1"/>
        <v>31.741205232283392</v>
      </c>
      <c r="D59" s="148">
        <f t="shared" si="3"/>
        <v>1771359.8321400597</v>
      </c>
      <c r="E59" s="43">
        <f t="shared" si="4"/>
        <v>10.14</v>
      </c>
      <c r="F59" s="43">
        <f t="shared" si="5"/>
        <v>22</v>
      </c>
      <c r="G59" s="43"/>
      <c r="H59" s="43"/>
      <c r="I59" s="148"/>
    </row>
    <row r="60" spans="1:9">
      <c r="A60" s="148">
        <v>15000</v>
      </c>
      <c r="B60" s="148">
        <f t="shared" si="2"/>
        <v>14967.990581583506</v>
      </c>
      <c r="C60" s="148">
        <f t="shared" si="1"/>
        <v>32.009418416493645</v>
      </c>
      <c r="D60" s="148">
        <f t="shared" si="3"/>
        <v>1771327.8227216431</v>
      </c>
      <c r="E60" s="43">
        <f t="shared" si="4"/>
        <v>10.14</v>
      </c>
      <c r="F60" s="43">
        <f t="shared" si="5"/>
        <v>23</v>
      </c>
      <c r="G60" s="43"/>
      <c r="H60" s="43"/>
      <c r="I60" s="148"/>
    </row>
    <row r="61" spans="1:9">
      <c r="A61" s="148">
        <v>15000</v>
      </c>
      <c r="B61" s="148">
        <f t="shared" si="2"/>
        <v>14967.720101997887</v>
      </c>
      <c r="C61" s="148">
        <f t="shared" si="1"/>
        <v>32.279898002112532</v>
      </c>
      <c r="D61" s="148">
        <f t="shared" si="3"/>
        <v>1771295.5428236411</v>
      </c>
      <c r="E61" s="43">
        <f t="shared" si="4"/>
        <v>10.14</v>
      </c>
      <c r="F61" s="43">
        <f t="shared" si="5"/>
        <v>24</v>
      </c>
      <c r="G61" s="43"/>
      <c r="H61" s="43"/>
      <c r="I61" s="148"/>
    </row>
    <row r="62" spans="1:9">
      <c r="A62" s="148">
        <v>15000</v>
      </c>
      <c r="B62" s="148">
        <f t="shared" si="2"/>
        <v>14967.447336859768</v>
      </c>
      <c r="C62" s="148">
        <f t="shared" si="1"/>
        <v>32.552663140231743</v>
      </c>
      <c r="D62" s="148">
        <f t="shared" si="3"/>
        <v>1771262.9901605009</v>
      </c>
      <c r="E62" s="43">
        <f t="shared" si="4"/>
        <v>10.14</v>
      </c>
      <c r="F62" s="43">
        <f t="shared" si="5"/>
        <v>25</v>
      </c>
      <c r="G62" s="43"/>
      <c r="H62" s="43"/>
      <c r="I62" s="148"/>
    </row>
    <row r="63" spans="1:9">
      <c r="A63" s="148">
        <v>15000</v>
      </c>
      <c r="B63" s="148">
        <f t="shared" si="2"/>
        <v>14967.172266856234</v>
      </c>
      <c r="C63" s="148">
        <f t="shared" si="1"/>
        <v>32.827733143765727</v>
      </c>
      <c r="D63" s="148">
        <f t="shared" si="3"/>
        <v>1771230.1624273572</v>
      </c>
      <c r="E63" s="43">
        <f t="shared" si="4"/>
        <v>10.14</v>
      </c>
      <c r="F63" s="43">
        <f t="shared" si="5"/>
        <v>26</v>
      </c>
      <c r="G63" s="43"/>
      <c r="H63" s="43"/>
      <c r="I63" s="148"/>
    </row>
    <row r="64" spans="1:9">
      <c r="A64" s="148">
        <v>15000</v>
      </c>
      <c r="B64" s="148">
        <f t="shared" si="2"/>
        <v>14966.89487251117</v>
      </c>
      <c r="C64" s="148">
        <f t="shared" si="1"/>
        <v>33.105127488830476</v>
      </c>
      <c r="D64" s="148">
        <f t="shared" si="3"/>
        <v>1771197.0572998684</v>
      </c>
      <c r="E64" s="43">
        <f t="shared" si="4"/>
        <v>10.14</v>
      </c>
      <c r="F64" s="43">
        <f t="shared" si="5"/>
        <v>27</v>
      </c>
      <c r="G64" s="43"/>
      <c r="H64" s="43"/>
      <c r="I64" s="148"/>
    </row>
    <row r="65" spans="1:9">
      <c r="A65" s="148">
        <v>15000</v>
      </c>
      <c r="B65" s="148">
        <f t="shared" si="2"/>
        <v>14966.61513418389</v>
      </c>
      <c r="C65" s="148">
        <f t="shared" si="1"/>
        <v>33.384865816109595</v>
      </c>
      <c r="D65" s="148">
        <f t="shared" si="3"/>
        <v>1771163.6724340522</v>
      </c>
      <c r="E65" s="43">
        <f t="shared" si="4"/>
        <v>10.14</v>
      </c>
      <c r="F65" s="43">
        <f t="shared" si="5"/>
        <v>28</v>
      </c>
      <c r="G65" s="43"/>
      <c r="H65" s="43"/>
      <c r="I65" s="148"/>
    </row>
    <row r="66" spans="1:9">
      <c r="A66" s="148">
        <v>15000</v>
      </c>
      <c r="B66" s="148">
        <f t="shared" si="2"/>
        <v>14966.333032067741</v>
      </c>
      <c r="C66" s="148">
        <f t="shared" si="1"/>
        <v>33.666967932258558</v>
      </c>
      <c r="D66" s="148">
        <f t="shared" si="3"/>
        <v>1771130.0054661199</v>
      </c>
      <c r="E66" s="43">
        <f t="shared" si="4"/>
        <v>10.14</v>
      </c>
      <c r="F66" s="43">
        <f t="shared" si="5"/>
        <v>29</v>
      </c>
      <c r="G66" s="43"/>
      <c r="H66" s="43"/>
      <c r="I66" s="148"/>
    </row>
    <row r="67" spans="1:9">
      <c r="A67" s="148">
        <v>15000</v>
      </c>
      <c r="B67" s="148">
        <f t="shared" si="2"/>
        <v>14966.048546188713</v>
      </c>
      <c r="C67" s="148">
        <f t="shared" si="1"/>
        <v>33.951453811287138</v>
      </c>
      <c r="D67" s="148">
        <f t="shared" si="3"/>
        <v>1771096.0540123086</v>
      </c>
      <c r="E67" s="43">
        <f t="shared" si="4"/>
        <v>10.14</v>
      </c>
      <c r="F67" s="43">
        <f t="shared" si="5"/>
        <v>30</v>
      </c>
      <c r="G67" s="43"/>
      <c r="H67" s="43"/>
      <c r="I67" s="148"/>
    </row>
    <row r="68" spans="1:9">
      <c r="A68" s="148">
        <v>15000</v>
      </c>
      <c r="B68" s="148">
        <f t="shared" si="2"/>
        <v>14965.761656404007</v>
      </c>
      <c r="C68" s="148">
        <f t="shared" si="1"/>
        <v>34.238343595992774</v>
      </c>
      <c r="D68" s="148">
        <f t="shared" si="3"/>
        <v>1771061.8156687126</v>
      </c>
      <c r="E68" s="43">
        <f t="shared" si="4"/>
        <v>10.14</v>
      </c>
      <c r="F68" s="43">
        <f t="shared" si="5"/>
        <v>31</v>
      </c>
      <c r="G68" s="43"/>
      <c r="H68" s="43"/>
      <c r="I68" s="148"/>
    </row>
    <row r="69" spans="1:9">
      <c r="A69" s="148">
        <v>15000</v>
      </c>
      <c r="B69" s="148">
        <f t="shared" si="2"/>
        <v>14965.472342400622</v>
      </c>
      <c r="C69" s="148">
        <f t="shared" si="1"/>
        <v>34.527657599377562</v>
      </c>
      <c r="D69" s="148">
        <f t="shared" si="3"/>
        <v>1771027.2880111132</v>
      </c>
      <c r="E69" s="43">
        <f t="shared" si="4"/>
        <v>10.14</v>
      </c>
      <c r="F69" s="43">
        <f t="shared" si="5"/>
        <v>32</v>
      </c>
      <c r="G69" s="43"/>
      <c r="H69" s="43"/>
      <c r="I69" s="148"/>
    </row>
    <row r="70" spans="1:9">
      <c r="A70" s="148">
        <v>15000</v>
      </c>
      <c r="B70" s="148">
        <f t="shared" si="2"/>
        <v>14965.180583693907</v>
      </c>
      <c r="C70" s="148">
        <f t="shared" si="1"/>
        <v>34.819416306092535</v>
      </c>
      <c r="D70" s="148">
        <f t="shared" si="3"/>
        <v>1770992.4685948072</v>
      </c>
      <c r="E70" s="43">
        <f t="shared" si="4"/>
        <v>10.14</v>
      </c>
      <c r="F70" s="43">
        <f t="shared" si="5"/>
        <v>33</v>
      </c>
      <c r="G70" s="43"/>
      <c r="H70" s="43"/>
      <c r="I70" s="148"/>
    </row>
    <row r="71" spans="1:9">
      <c r="A71" s="148">
        <v>15000</v>
      </c>
      <c r="B71" s="148">
        <f t="shared" si="2"/>
        <v>14964.886359626124</v>
      </c>
      <c r="C71" s="148">
        <f t="shared" si="1"/>
        <v>35.113640373876478</v>
      </c>
      <c r="D71" s="148">
        <f t="shared" si="3"/>
        <v>1770957.3549544334</v>
      </c>
      <c r="E71" s="43">
        <f t="shared" si="4"/>
        <v>10.14</v>
      </c>
      <c r="F71" s="43">
        <f t="shared" si="5"/>
        <v>34</v>
      </c>
      <c r="G71" s="43"/>
      <c r="H71" s="43"/>
      <c r="I71" s="148"/>
    </row>
    <row r="72" spans="1:9">
      <c r="A72" s="148">
        <v>15000</v>
      </c>
      <c r="B72" s="148">
        <f t="shared" si="2"/>
        <v>14964.589649364963</v>
      </c>
      <c r="C72" s="148">
        <f t="shared" si="1"/>
        <v>35.410350635036593</v>
      </c>
      <c r="D72" s="148">
        <f t="shared" si="3"/>
        <v>1770921.9446037984</v>
      </c>
      <c r="E72" s="43">
        <f t="shared" si="4"/>
        <v>10.14</v>
      </c>
      <c r="F72" s="43">
        <f t="shared" si="5"/>
        <v>35</v>
      </c>
      <c r="G72" s="43"/>
      <c r="H72" s="43"/>
      <c r="I72" s="148"/>
    </row>
    <row r="73" spans="1:9">
      <c r="A73" s="148">
        <v>15000</v>
      </c>
      <c r="B73" s="148">
        <f t="shared" si="2"/>
        <v>14964.290431902098</v>
      </c>
      <c r="C73" s="148">
        <f t="shared" si="1"/>
        <v>35.709568097901865</v>
      </c>
      <c r="D73" s="148">
        <f t="shared" si="3"/>
        <v>1770886.2350357005</v>
      </c>
      <c r="E73" s="43">
        <f t="shared" si="4"/>
        <v>10.14</v>
      </c>
      <c r="F73" s="43">
        <f t="shared" si="5"/>
        <v>36</v>
      </c>
      <c r="G73" s="43"/>
      <c r="H73" s="43"/>
      <c r="I73" s="148"/>
    </row>
    <row r="74" spans="1:9">
      <c r="A74" s="148">
        <v>15000</v>
      </c>
      <c r="B74" s="148">
        <f t="shared" si="2"/>
        <v>14963.988686051671</v>
      </c>
      <c r="C74" s="148">
        <f t="shared" si="1"/>
        <v>36.011313948329189</v>
      </c>
      <c r="D74" s="148">
        <f t="shared" si="3"/>
        <v>1770850.2237217522</v>
      </c>
      <c r="E74" s="43">
        <f t="shared" si="4"/>
        <v>10.14</v>
      </c>
      <c r="F74" s="43">
        <f t="shared" si="5"/>
        <v>37</v>
      </c>
      <c r="G74" s="43"/>
      <c r="H74" s="43"/>
      <c r="I74" s="148"/>
    </row>
    <row r="75" spans="1:9">
      <c r="A75" s="148">
        <v>15000</v>
      </c>
      <c r="B75" s="148">
        <f t="shared" si="2"/>
        <v>14963.684390448807</v>
      </c>
      <c r="C75" s="148">
        <f t="shared" si="1"/>
        <v>36.31560955119312</v>
      </c>
      <c r="D75" s="148">
        <f t="shared" si="3"/>
        <v>1770813.9081122009</v>
      </c>
      <c r="E75" s="43">
        <f t="shared" si="4"/>
        <v>10.14</v>
      </c>
      <c r="F75" s="43">
        <f t="shared" si="5"/>
        <v>38</v>
      </c>
      <c r="G75" s="43"/>
      <c r="H75" s="43"/>
      <c r="I75" s="148"/>
    </row>
    <row r="76" spans="1:9">
      <c r="A76" s="148">
        <v>15000</v>
      </c>
      <c r="B76" s="148">
        <f t="shared" si="2"/>
        <v>14963.377523548095</v>
      </c>
      <c r="C76" s="148">
        <f t="shared" si="1"/>
        <v>36.622476451904731</v>
      </c>
      <c r="D76" s="148">
        <f t="shared" si="3"/>
        <v>1770777.2856357491</v>
      </c>
      <c r="E76" s="43">
        <f t="shared" si="4"/>
        <v>10.14</v>
      </c>
      <c r="F76" s="43">
        <f t="shared" si="5"/>
        <v>39</v>
      </c>
      <c r="G76" s="43"/>
      <c r="H76" s="43"/>
      <c r="I76" s="148"/>
    </row>
    <row r="77" spans="1:9">
      <c r="A77" s="148">
        <v>15000</v>
      </c>
      <c r="B77" s="148">
        <f t="shared" si="2"/>
        <v>14963.068063622079</v>
      </c>
      <c r="C77" s="148">
        <f t="shared" si="1"/>
        <v>36.931936377921375</v>
      </c>
      <c r="D77" s="148">
        <f t="shared" si="3"/>
        <v>1770740.3536993712</v>
      </c>
      <c r="E77" s="43">
        <f t="shared" si="4"/>
        <v>10.14</v>
      </c>
      <c r="F77" s="43">
        <f t="shared" si="5"/>
        <v>40</v>
      </c>
      <c r="G77" s="43"/>
      <c r="H77" s="43"/>
      <c r="I77" s="148"/>
    </row>
    <row r="78" spans="1:9">
      <c r="A78" s="148">
        <v>15000</v>
      </c>
      <c r="B78" s="148">
        <f t="shared" si="2"/>
        <v>14962.755988759687</v>
      </c>
      <c r="C78" s="148">
        <f t="shared" si="1"/>
        <v>37.24401124031283</v>
      </c>
      <c r="D78" s="148">
        <f t="shared" si="3"/>
        <v>1770703.1096881309</v>
      </c>
      <c r="E78" s="43">
        <f t="shared" si="4"/>
        <v>10.14</v>
      </c>
      <c r="F78" s="43">
        <f t="shared" si="5"/>
        <v>41</v>
      </c>
      <c r="G78" s="43"/>
      <c r="H78" s="43"/>
      <c r="I78" s="148"/>
    </row>
    <row r="79" spans="1:9">
      <c r="A79" s="148">
        <v>15000</v>
      </c>
      <c r="B79" s="148">
        <f t="shared" si="2"/>
        <v>14962.441276864707</v>
      </c>
      <c r="C79" s="148">
        <f t="shared" si="1"/>
        <v>37.558723135292894</v>
      </c>
      <c r="D79" s="148">
        <f t="shared" si="3"/>
        <v>1770665.5509649955</v>
      </c>
      <c r="E79" s="43">
        <f t="shared" si="4"/>
        <v>10.14</v>
      </c>
      <c r="F79" s="43">
        <f t="shared" si="5"/>
        <v>42</v>
      </c>
      <c r="G79" s="43"/>
      <c r="H79" s="43"/>
      <c r="I79" s="148"/>
    </row>
    <row r="80" spans="1:9">
      <c r="A80" s="148">
        <v>15000</v>
      </c>
      <c r="B80" s="148">
        <f t="shared" si="2"/>
        <v>14962.123905654213</v>
      </c>
      <c r="C80" s="148">
        <f t="shared" si="1"/>
        <v>37.876094345787351</v>
      </c>
      <c r="D80" s="148">
        <f t="shared" si="3"/>
        <v>1770627.6748706498</v>
      </c>
      <c r="E80" s="43">
        <f t="shared" si="4"/>
        <v>10.14</v>
      </c>
      <c r="F80" s="43">
        <f t="shared" si="5"/>
        <v>43</v>
      </c>
      <c r="G80" s="43"/>
      <c r="H80" s="43"/>
      <c r="I80" s="148"/>
    </row>
    <row r="81" spans="1:9">
      <c r="A81" s="148">
        <v>15000</v>
      </c>
      <c r="B81" s="148">
        <f t="shared" si="2"/>
        <v>14961.803852656993</v>
      </c>
      <c r="C81" s="148">
        <f t="shared" si="1"/>
        <v>38.196147343007397</v>
      </c>
      <c r="D81" s="148">
        <f t="shared" si="3"/>
        <v>1770589.4787233069</v>
      </c>
      <c r="E81" s="43">
        <f t="shared" si="4"/>
        <v>10.14</v>
      </c>
      <c r="F81" s="43">
        <f t="shared" si="5"/>
        <v>44</v>
      </c>
      <c r="G81" s="43"/>
      <c r="H81" s="43"/>
      <c r="I81" s="148"/>
    </row>
    <row r="82" spans="1:9">
      <c r="A82" s="148">
        <v>15000</v>
      </c>
      <c r="B82" s="148">
        <f t="shared" si="2"/>
        <v>14961.481095211944</v>
      </c>
      <c r="C82" s="148">
        <f t="shared" si="1"/>
        <v>38.518904788055806</v>
      </c>
      <c r="D82" s="148">
        <f t="shared" si="3"/>
        <v>1770550.959818519</v>
      </c>
      <c r="E82" s="43">
        <f t="shared" si="4"/>
        <v>10.14</v>
      </c>
      <c r="F82" s="43">
        <f t="shared" si="5"/>
        <v>45</v>
      </c>
      <c r="G82" s="43"/>
      <c r="H82" s="43"/>
      <c r="I82" s="148"/>
    </row>
    <row r="83" spans="1:9">
      <c r="A83" s="148">
        <v>15000</v>
      </c>
      <c r="B83" s="148">
        <f t="shared" si="2"/>
        <v>14961.155610466485</v>
      </c>
      <c r="C83" s="148">
        <f t="shared" si="1"/>
        <v>38.844389533514914</v>
      </c>
      <c r="D83" s="148">
        <f t="shared" si="3"/>
        <v>1770512.1154289853</v>
      </c>
      <c r="E83" s="43">
        <f t="shared" si="4"/>
        <v>10.14</v>
      </c>
      <c r="F83" s="43">
        <f t="shared" si="5"/>
        <v>46</v>
      </c>
      <c r="G83" s="43"/>
      <c r="H83" s="43"/>
      <c r="I83" s="148"/>
    </row>
    <row r="84" spans="1:9">
      <c r="A84" s="148">
        <v>15000</v>
      </c>
      <c r="B84" s="148">
        <f t="shared" si="2"/>
        <v>14960.827375374925</v>
      </c>
      <c r="C84" s="148">
        <f t="shared" si="1"/>
        <v>39.172624625074604</v>
      </c>
      <c r="D84" s="148">
        <f t="shared" si="3"/>
        <v>1770472.9428043603</v>
      </c>
      <c r="E84" s="43">
        <f t="shared" si="4"/>
        <v>10.14</v>
      </c>
      <c r="F84" s="43">
        <f t="shared" si="5"/>
        <v>47</v>
      </c>
      <c r="G84" s="43"/>
      <c r="H84" s="43"/>
      <c r="I84" s="148"/>
    </row>
    <row r="85" spans="1:9">
      <c r="A85" s="148">
        <v>15000</v>
      </c>
      <c r="B85" s="148">
        <f t="shared" si="2"/>
        <v>14960.496366696845</v>
      </c>
      <c r="C85" s="148">
        <f t="shared" si="1"/>
        <v>39.503633303154857</v>
      </c>
      <c r="D85" s="148">
        <f t="shared" si="3"/>
        <v>1770433.4391710572</v>
      </c>
      <c r="E85" s="43">
        <f t="shared" si="4"/>
        <v>10.14</v>
      </c>
      <c r="F85" s="43">
        <f t="shared" si="5"/>
        <v>48</v>
      </c>
      <c r="G85" s="43"/>
      <c r="H85" s="43"/>
      <c r="I85" s="148"/>
    </row>
    <row r="86" spans="1:9">
      <c r="A86" s="148">
        <v>15000</v>
      </c>
      <c r="B86" s="148">
        <f t="shared" si="2"/>
        <v>14960.162560995435</v>
      </c>
      <c r="C86" s="148">
        <f t="shared" si="1"/>
        <v>39.837439004564658</v>
      </c>
      <c r="D86" s="148">
        <f t="shared" si="3"/>
        <v>1770393.6017320526</v>
      </c>
      <c r="E86" s="43">
        <f t="shared" si="4"/>
        <v>10.14</v>
      </c>
      <c r="F86" s="43">
        <f t="shared" si="5"/>
        <v>49</v>
      </c>
      <c r="G86" s="43"/>
      <c r="H86" s="43"/>
      <c r="I86" s="148"/>
    </row>
    <row r="87" spans="1:9">
      <c r="A87" s="148">
        <v>15000</v>
      </c>
      <c r="B87" s="148">
        <f t="shared" si="2"/>
        <v>14959.825934635845</v>
      </c>
      <c r="C87" s="148">
        <f t="shared" si="1"/>
        <v>40.174065364155467</v>
      </c>
      <c r="D87" s="148">
        <f t="shared" si="3"/>
        <v>1770353.4276666886</v>
      </c>
      <c r="E87" s="43">
        <f t="shared" si="4"/>
        <v>10.14</v>
      </c>
      <c r="F87" s="43">
        <f t="shared" si="5"/>
        <v>50</v>
      </c>
      <c r="G87" s="43"/>
      <c r="H87" s="43"/>
      <c r="I87" s="148"/>
    </row>
    <row r="88" spans="1:9">
      <c r="A88" s="148">
        <v>15000</v>
      </c>
      <c r="B88" s="148">
        <f t="shared" si="2"/>
        <v>14959.48646378352</v>
      </c>
      <c r="C88" s="148">
        <f t="shared" si="1"/>
        <v>40.513536216480134</v>
      </c>
      <c r="D88" s="148">
        <f t="shared" si="3"/>
        <v>1770312.9141304721</v>
      </c>
      <c r="E88" s="43">
        <f t="shared" si="4"/>
        <v>10.14</v>
      </c>
      <c r="F88" s="43">
        <f t="shared" si="5"/>
        <v>51</v>
      </c>
      <c r="G88" s="43"/>
      <c r="H88" s="43"/>
      <c r="I88" s="148"/>
    </row>
    <row r="89" spans="1:9">
      <c r="A89" s="148">
        <v>15000</v>
      </c>
      <c r="B89" s="148">
        <f t="shared" si="2"/>
        <v>14959.14412440249</v>
      </c>
      <c r="C89" s="148">
        <f t="shared" si="1"/>
        <v>40.855875597510021</v>
      </c>
      <c r="D89" s="148">
        <f t="shared" si="3"/>
        <v>1770272.0582548745</v>
      </c>
      <c r="E89" s="43">
        <f t="shared" si="4"/>
        <v>10.14</v>
      </c>
      <c r="F89" s="43">
        <f t="shared" si="5"/>
        <v>52</v>
      </c>
      <c r="G89" s="43"/>
      <c r="H89" s="43"/>
      <c r="I89" s="148"/>
    </row>
    <row r="90" spans="1:9">
      <c r="A90" s="148">
        <v>15000</v>
      </c>
      <c r="B90" s="148">
        <f t="shared" si="2"/>
        <v>14958.79889225369</v>
      </c>
      <c r="C90" s="148">
        <f t="shared" si="1"/>
        <v>41.201107746310299</v>
      </c>
      <c r="D90" s="148">
        <f t="shared" si="3"/>
        <v>1770230.8571471283</v>
      </c>
      <c r="E90" s="43">
        <f t="shared" si="4"/>
        <v>10.14</v>
      </c>
      <c r="F90" s="43">
        <f t="shared" si="5"/>
        <v>53</v>
      </c>
      <c r="G90" s="43"/>
      <c r="H90" s="43"/>
      <c r="I90" s="148"/>
    </row>
    <row r="91" spans="1:9">
      <c r="A91" s="148">
        <v>15000</v>
      </c>
      <c r="B91" s="148">
        <f t="shared" si="2"/>
        <v>14958.450742893234</v>
      </c>
      <c r="C91" s="148">
        <f t="shared" si="1"/>
        <v>41.549257106766163</v>
      </c>
      <c r="D91" s="148">
        <f t="shared" si="3"/>
        <v>1770189.3078900215</v>
      </c>
      <c r="E91" s="43">
        <f t="shared" si="4"/>
        <v>10.14</v>
      </c>
      <c r="F91" s="43">
        <f t="shared" si="5"/>
        <v>54</v>
      </c>
      <c r="G91" s="43"/>
      <c r="H91" s="43"/>
      <c r="I91" s="148"/>
    </row>
    <row r="92" spans="1:9">
      <c r="A92" s="148">
        <v>15000</v>
      </c>
      <c r="B92" s="148">
        <f t="shared" si="2"/>
        <v>14958.099651670682</v>
      </c>
      <c r="C92" s="148">
        <f t="shared" si="1"/>
        <v>41.900348329318149</v>
      </c>
      <c r="D92" s="148">
        <f t="shared" si="3"/>
        <v>1770147.4075416923</v>
      </c>
      <c r="E92" s="43">
        <f t="shared" si="4"/>
        <v>10.14</v>
      </c>
      <c r="F92" s="43">
        <f t="shared" si="5"/>
        <v>55</v>
      </c>
      <c r="G92" s="43"/>
      <c r="H92" s="43"/>
      <c r="I92" s="148"/>
    </row>
    <row r="93" spans="1:9">
      <c r="A93" s="148">
        <v>15000</v>
      </c>
      <c r="B93" s="148">
        <f t="shared" si="2"/>
        <v>14957.745593727299</v>
      </c>
      <c r="C93" s="148">
        <f t="shared" si="1"/>
        <v>42.25440627270109</v>
      </c>
      <c r="D93" s="148">
        <f t="shared" si="3"/>
        <v>1770105.1531354196</v>
      </c>
      <c r="E93" s="43">
        <f t="shared" si="4"/>
        <v>10.14</v>
      </c>
      <c r="F93" s="43">
        <f t="shared" si="5"/>
        <v>56</v>
      </c>
      <c r="G93" s="43"/>
      <c r="H93" s="43"/>
      <c r="I93" s="148"/>
    </row>
    <row r="94" spans="1:9">
      <c r="A94" s="148">
        <v>15000</v>
      </c>
      <c r="B94" s="148">
        <f t="shared" si="2"/>
        <v>14957.388543994297</v>
      </c>
      <c r="C94" s="148">
        <f t="shared" si="1"/>
        <v>42.611456005703076</v>
      </c>
      <c r="D94" s="148">
        <f t="shared" si="3"/>
        <v>1770062.541679414</v>
      </c>
      <c r="E94" s="43">
        <f t="shared" si="4"/>
        <v>10.14</v>
      </c>
      <c r="F94" s="43">
        <f t="shared" si="5"/>
        <v>57</v>
      </c>
      <c r="G94" s="43"/>
      <c r="H94" s="43"/>
      <c r="I94" s="148"/>
    </row>
    <row r="95" spans="1:9">
      <c r="A95" s="148">
        <v>15000</v>
      </c>
      <c r="B95" s="148">
        <f t="shared" si="2"/>
        <v>14957.02847719105</v>
      </c>
      <c r="C95" s="148">
        <f t="shared" si="1"/>
        <v>42.971522808949885</v>
      </c>
      <c r="D95" s="148">
        <f t="shared" si="3"/>
        <v>1770019.570156605</v>
      </c>
      <c r="E95" s="43">
        <f t="shared" si="4"/>
        <v>10.14</v>
      </c>
      <c r="F95" s="43">
        <f t="shared" si="5"/>
        <v>58</v>
      </c>
      <c r="G95" s="43"/>
      <c r="H95" s="43"/>
      <c r="I95" s="148"/>
    </row>
    <row r="96" spans="1:9">
      <c r="A96" s="148">
        <v>15000</v>
      </c>
      <c r="B96" s="148">
        <f t="shared" si="2"/>
        <v>14956.665367823312</v>
      </c>
      <c r="C96" s="148">
        <f t="shared" si="1"/>
        <v>43.334632176687592</v>
      </c>
      <c r="D96" s="148">
        <f t="shared" si="3"/>
        <v>1769976.2355244283</v>
      </c>
      <c r="E96" s="43">
        <f t="shared" si="4"/>
        <v>10.14</v>
      </c>
      <c r="F96" s="43">
        <f t="shared" si="5"/>
        <v>59</v>
      </c>
      <c r="G96" s="43"/>
      <c r="H96" s="43"/>
      <c r="I96" s="148"/>
    </row>
    <row r="97" spans="1:9">
      <c r="A97" s="148">
        <v>15000</v>
      </c>
      <c r="B97" s="148">
        <f t="shared" si="2"/>
        <v>14956.299190181418</v>
      </c>
      <c r="C97" s="148">
        <f t="shared" si="1"/>
        <v>43.700809818581547</v>
      </c>
      <c r="D97" s="148">
        <f t="shared" si="3"/>
        <v>1769932.5347146096</v>
      </c>
      <c r="E97" s="43">
        <f t="shared" si="4"/>
        <v>10.14</v>
      </c>
      <c r="F97" s="43">
        <f t="shared" si="5"/>
        <v>60</v>
      </c>
      <c r="G97" s="43"/>
      <c r="H97" s="43"/>
      <c r="I97" s="148"/>
    </row>
    <row r="98" spans="1:9">
      <c r="A98" s="148">
        <v>15000</v>
      </c>
      <c r="B98" s="148">
        <f t="shared" si="2"/>
        <v>14955.929918338452</v>
      </c>
      <c r="C98" s="148">
        <f t="shared" si="1"/>
        <v>44.070081661548102</v>
      </c>
      <c r="D98" s="148">
        <f t="shared" si="3"/>
        <v>1769888.4646329482</v>
      </c>
      <c r="E98" s="43">
        <f t="shared" si="4"/>
        <v>10.14</v>
      </c>
      <c r="F98" s="43">
        <f t="shared" si="5"/>
        <v>61</v>
      </c>
      <c r="G98" s="43"/>
      <c r="H98" s="43"/>
      <c r="I98" s="148"/>
    </row>
    <row r="99" spans="1:9">
      <c r="A99" s="148">
        <v>15000</v>
      </c>
      <c r="B99" s="148">
        <f t="shared" si="2"/>
        <v>14955.557526148412</v>
      </c>
      <c r="C99" s="148">
        <f t="shared" si="1"/>
        <v>44.442473851588147</v>
      </c>
      <c r="D99" s="148">
        <f t="shared" si="3"/>
        <v>1769844.0221590966</v>
      </c>
      <c r="E99" s="43">
        <f t="shared" si="4"/>
        <v>10.14</v>
      </c>
      <c r="F99" s="43">
        <f t="shared" si="5"/>
        <v>62</v>
      </c>
      <c r="G99" s="43"/>
      <c r="H99" s="43"/>
      <c r="I99" s="148"/>
    </row>
    <row r="100" spans="1:9">
      <c r="A100" s="148">
        <v>15000</v>
      </c>
      <c r="B100" s="148">
        <f t="shared" si="2"/>
        <v>14955.181987244367</v>
      </c>
      <c r="C100" s="148">
        <f t="shared" si="1"/>
        <v>44.81801275563339</v>
      </c>
      <c r="D100" s="148">
        <f t="shared" si="3"/>
        <v>1769799.204146341</v>
      </c>
      <c r="E100" s="43">
        <f t="shared" si="4"/>
        <v>10.14</v>
      </c>
      <c r="F100" s="43">
        <f t="shared" si="5"/>
        <v>63</v>
      </c>
      <c r="G100" s="43"/>
      <c r="H100" s="43"/>
      <c r="I100" s="148"/>
    </row>
    <row r="101" spans="1:9">
      <c r="A101" s="148">
        <v>15000</v>
      </c>
      <c r="B101" s="148">
        <f t="shared" si="2"/>
        <v>14954.803275036582</v>
      </c>
      <c r="C101" s="148">
        <f t="shared" si="1"/>
        <v>45.196724963418092</v>
      </c>
      <c r="D101" s="148">
        <f t="shared" si="3"/>
        <v>1769754.0074213776</v>
      </c>
      <c r="E101" s="43">
        <f t="shared" si="4"/>
        <v>10.14</v>
      </c>
      <c r="F101" s="43">
        <f t="shared" si="5"/>
        <v>64</v>
      </c>
      <c r="G101" s="43"/>
      <c r="H101" s="43"/>
      <c r="I101" s="148"/>
    </row>
    <row r="102" spans="1:9">
      <c r="A102" s="148">
        <v>15000</v>
      </c>
      <c r="B102" s="148">
        <f t="shared" si="2"/>
        <v>14954.421362710642</v>
      </c>
      <c r="C102" s="148">
        <f t="shared" ref="C102:C157" si="6">+A102-B102</f>
        <v>45.578637289358085</v>
      </c>
      <c r="D102" s="148">
        <f t="shared" si="3"/>
        <v>1769708.4287840882</v>
      </c>
      <c r="E102" s="43">
        <f t="shared" si="4"/>
        <v>10.14</v>
      </c>
      <c r="F102" s="43">
        <f t="shared" si="5"/>
        <v>65</v>
      </c>
      <c r="G102" s="43"/>
      <c r="H102" s="43"/>
      <c r="I102" s="148"/>
    </row>
    <row r="103" spans="1:9">
      <c r="A103" s="148">
        <v>15000</v>
      </c>
      <c r="B103" s="148">
        <f t="shared" ref="B103:B157" si="7">(+D102*E102/100)/12</f>
        <v>14954.036223225548</v>
      </c>
      <c r="C103" s="148">
        <f t="shared" si="6"/>
        <v>45.963776774451617</v>
      </c>
      <c r="D103" s="148">
        <f t="shared" ref="D103:D157" si="8">+D102-C103</f>
        <v>1769662.4650073138</v>
      </c>
      <c r="E103" s="43">
        <f t="shared" ref="E103:E157" si="9">+E102</f>
        <v>10.14</v>
      </c>
      <c r="F103" s="43">
        <f t="shared" si="5"/>
        <v>66</v>
      </c>
      <c r="G103" s="43"/>
      <c r="H103" s="43"/>
      <c r="I103" s="148"/>
    </row>
    <row r="104" spans="1:9">
      <c r="A104" s="148">
        <v>15000</v>
      </c>
      <c r="B104" s="148">
        <f t="shared" si="7"/>
        <v>14953.647829311803</v>
      </c>
      <c r="C104" s="148">
        <f t="shared" si="6"/>
        <v>46.352170688196566</v>
      </c>
      <c r="D104" s="148">
        <f t="shared" si="8"/>
        <v>1769616.1128366257</v>
      </c>
      <c r="E104" s="43">
        <f t="shared" si="9"/>
        <v>10.14</v>
      </c>
      <c r="F104" s="43">
        <f t="shared" ref="F104:F157" si="10">+F103+1</f>
        <v>67</v>
      </c>
      <c r="G104" s="43"/>
      <c r="H104" s="43"/>
      <c r="I104" s="148"/>
    </row>
    <row r="105" spans="1:9">
      <c r="A105" s="148">
        <v>15000</v>
      </c>
      <c r="B105" s="148">
        <f t="shared" si="7"/>
        <v>14953.256153469485</v>
      </c>
      <c r="C105" s="148">
        <f t="shared" si="6"/>
        <v>46.743846530514929</v>
      </c>
      <c r="D105" s="148">
        <f t="shared" si="8"/>
        <v>1769569.3689900951</v>
      </c>
      <c r="E105" s="43">
        <f t="shared" si="9"/>
        <v>10.14</v>
      </c>
      <c r="F105" s="43">
        <f t="shared" si="10"/>
        <v>68</v>
      </c>
      <c r="G105" s="43"/>
      <c r="H105" s="43"/>
      <c r="I105" s="148"/>
    </row>
    <row r="106" spans="1:9">
      <c r="A106" s="148">
        <v>15000</v>
      </c>
      <c r="B106" s="148">
        <f t="shared" si="7"/>
        <v>14952.861167966303</v>
      </c>
      <c r="C106" s="148">
        <f t="shared" si="6"/>
        <v>47.138832033697327</v>
      </c>
      <c r="D106" s="148">
        <f t="shared" si="8"/>
        <v>1769522.2301580615</v>
      </c>
      <c r="E106" s="43">
        <f t="shared" si="9"/>
        <v>10.14</v>
      </c>
      <c r="F106" s="43">
        <f t="shared" si="10"/>
        <v>69</v>
      </c>
      <c r="G106" s="43"/>
      <c r="H106" s="43"/>
      <c r="I106" s="148"/>
    </row>
    <row r="107" spans="1:9">
      <c r="A107" s="148">
        <v>15000</v>
      </c>
      <c r="B107" s="148">
        <f t="shared" si="7"/>
        <v>14952.462844835618</v>
      </c>
      <c r="C107" s="148">
        <f t="shared" si="6"/>
        <v>47.537155164382057</v>
      </c>
      <c r="D107" s="148">
        <f t="shared" si="8"/>
        <v>1769474.6930028971</v>
      </c>
      <c r="E107" s="43">
        <f t="shared" si="9"/>
        <v>10.14</v>
      </c>
      <c r="F107" s="43">
        <f t="shared" si="10"/>
        <v>70</v>
      </c>
      <c r="G107" s="43"/>
      <c r="H107" s="43"/>
      <c r="I107" s="148"/>
    </row>
    <row r="108" spans="1:9">
      <c r="A108" s="148">
        <v>15000</v>
      </c>
      <c r="B108" s="148">
        <f t="shared" si="7"/>
        <v>14952.06115587448</v>
      </c>
      <c r="C108" s="148">
        <f t="shared" si="6"/>
        <v>47.938844125519608</v>
      </c>
      <c r="D108" s="148">
        <f t="shared" si="8"/>
        <v>1769426.7541587716</v>
      </c>
      <c r="E108" s="43">
        <f t="shared" si="9"/>
        <v>10.14</v>
      </c>
      <c r="F108" s="43">
        <f t="shared" si="10"/>
        <v>71</v>
      </c>
      <c r="G108" s="43"/>
      <c r="H108" s="43"/>
      <c r="I108" s="148"/>
    </row>
    <row r="109" spans="1:9">
      <c r="A109" s="148">
        <v>15000</v>
      </c>
      <c r="B109" s="148">
        <f t="shared" si="7"/>
        <v>14951.656072641621</v>
      </c>
      <c r="C109" s="148">
        <f t="shared" si="6"/>
        <v>48.343927358379005</v>
      </c>
      <c r="D109" s="148">
        <f t="shared" si="8"/>
        <v>1769378.4102314133</v>
      </c>
      <c r="E109" s="43">
        <f t="shared" si="9"/>
        <v>10.14</v>
      </c>
      <c r="F109" s="43">
        <f t="shared" si="10"/>
        <v>72</v>
      </c>
      <c r="G109" s="43"/>
      <c r="H109" s="43"/>
      <c r="I109" s="148"/>
    </row>
    <row r="110" spans="1:9">
      <c r="A110" s="148">
        <v>15000</v>
      </c>
      <c r="B110" s="148">
        <f t="shared" si="7"/>
        <v>14951.247566455444</v>
      </c>
      <c r="C110" s="148">
        <f t="shared" si="6"/>
        <v>48.75243354455597</v>
      </c>
      <c r="D110" s="148">
        <f t="shared" si="8"/>
        <v>1769329.6577978688</v>
      </c>
      <c r="E110" s="43">
        <f t="shared" si="9"/>
        <v>10.14</v>
      </c>
      <c r="F110" s="43">
        <f t="shared" si="10"/>
        <v>73</v>
      </c>
      <c r="G110" s="43"/>
      <c r="H110" s="43"/>
      <c r="I110" s="148"/>
    </row>
    <row r="111" spans="1:9">
      <c r="A111" s="148">
        <v>15000</v>
      </c>
      <c r="B111" s="148">
        <f t="shared" si="7"/>
        <v>14950.835608391992</v>
      </c>
      <c r="C111" s="148">
        <f t="shared" si="6"/>
        <v>49.164391608008373</v>
      </c>
      <c r="D111" s="148">
        <f t="shared" si="8"/>
        <v>1769280.4934062609</v>
      </c>
      <c r="E111" s="43">
        <f t="shared" si="9"/>
        <v>10.14</v>
      </c>
      <c r="F111" s="43">
        <f t="shared" si="10"/>
        <v>74</v>
      </c>
      <c r="G111" s="43"/>
      <c r="H111" s="43"/>
      <c r="I111" s="148"/>
    </row>
    <row r="112" spans="1:9">
      <c r="A112" s="148">
        <v>15000</v>
      </c>
      <c r="B112" s="148">
        <f t="shared" si="7"/>
        <v>14950.420169282906</v>
      </c>
      <c r="C112" s="148">
        <f t="shared" si="6"/>
        <v>49.5798307170935</v>
      </c>
      <c r="D112" s="148">
        <f t="shared" si="8"/>
        <v>1769230.9135755438</v>
      </c>
      <c r="E112" s="43">
        <f t="shared" si="9"/>
        <v>10.14</v>
      </c>
      <c r="F112" s="43">
        <f t="shared" si="10"/>
        <v>75</v>
      </c>
      <c r="G112" s="43"/>
      <c r="H112" s="43"/>
      <c r="I112" s="148"/>
    </row>
    <row r="113" spans="1:9">
      <c r="A113" s="148">
        <v>15000</v>
      </c>
      <c r="B113" s="148">
        <f t="shared" si="7"/>
        <v>14950.001219713347</v>
      </c>
      <c r="C113" s="148">
        <f t="shared" si="6"/>
        <v>49.998780286652618</v>
      </c>
      <c r="D113" s="148">
        <f t="shared" si="8"/>
        <v>1769180.9147952572</v>
      </c>
      <c r="E113" s="43">
        <f t="shared" si="9"/>
        <v>10.14</v>
      </c>
      <c r="F113" s="43">
        <f t="shared" si="10"/>
        <v>76</v>
      </c>
      <c r="G113" s="43"/>
      <c r="H113" s="43"/>
      <c r="I113" s="148"/>
    </row>
    <row r="114" spans="1:9">
      <c r="A114" s="148">
        <v>15000</v>
      </c>
      <c r="B114" s="148">
        <f t="shared" si="7"/>
        <v>14949.578730019924</v>
      </c>
      <c r="C114" s="148">
        <f t="shared" si="6"/>
        <v>50.421269980075522</v>
      </c>
      <c r="D114" s="148">
        <f t="shared" si="8"/>
        <v>1769130.4935252771</v>
      </c>
      <c r="E114" s="43">
        <f t="shared" si="9"/>
        <v>10.14</v>
      </c>
      <c r="F114" s="43">
        <f t="shared" si="10"/>
        <v>77</v>
      </c>
      <c r="G114" s="43"/>
      <c r="H114" s="43"/>
      <c r="I114" s="148"/>
    </row>
    <row r="115" spans="1:9">
      <c r="A115" s="148">
        <v>15000</v>
      </c>
      <c r="B115" s="148">
        <f t="shared" si="7"/>
        <v>14949.152670288591</v>
      </c>
      <c r="C115" s="148">
        <f t="shared" si="6"/>
        <v>50.847329711408747</v>
      </c>
      <c r="D115" s="148">
        <f t="shared" si="8"/>
        <v>1769079.6461955658</v>
      </c>
      <c r="E115" s="43">
        <f t="shared" si="9"/>
        <v>10.14</v>
      </c>
      <c r="F115" s="43">
        <f t="shared" si="10"/>
        <v>78</v>
      </c>
      <c r="G115" s="43"/>
      <c r="H115" s="43"/>
      <c r="I115" s="148"/>
    </row>
    <row r="116" spans="1:9">
      <c r="A116" s="148">
        <v>15000</v>
      </c>
      <c r="B116" s="148">
        <f t="shared" si="7"/>
        <v>14948.723010352534</v>
      </c>
      <c r="C116" s="148">
        <f t="shared" si="6"/>
        <v>51.276989647465598</v>
      </c>
      <c r="D116" s="148">
        <f t="shared" si="8"/>
        <v>1769028.3692059184</v>
      </c>
      <c r="E116" s="43">
        <f t="shared" si="9"/>
        <v>10.14</v>
      </c>
      <c r="F116" s="43">
        <f t="shared" si="10"/>
        <v>79</v>
      </c>
      <c r="G116" s="43"/>
      <c r="H116" s="43"/>
      <c r="I116" s="148"/>
    </row>
    <row r="117" spans="1:9">
      <c r="A117" s="148">
        <v>15000</v>
      </c>
      <c r="B117" s="148">
        <f t="shared" si="7"/>
        <v>14948.289719790011</v>
      </c>
      <c r="C117" s="148">
        <f t="shared" si="6"/>
        <v>51.710280209988923</v>
      </c>
      <c r="D117" s="148">
        <f t="shared" si="8"/>
        <v>1768976.6589257084</v>
      </c>
      <c r="E117" s="43">
        <f t="shared" si="9"/>
        <v>10.14</v>
      </c>
      <c r="F117" s="43">
        <f t="shared" si="10"/>
        <v>80</v>
      </c>
      <c r="G117" s="43"/>
      <c r="H117" s="43"/>
      <c r="I117" s="148"/>
    </row>
    <row r="118" spans="1:9">
      <c r="A118" s="148">
        <v>15000</v>
      </c>
      <c r="B118" s="148">
        <f t="shared" si="7"/>
        <v>14947.852767922237</v>
      </c>
      <c r="C118" s="148">
        <f t="shared" si="6"/>
        <v>52.147232077762965</v>
      </c>
      <c r="D118" s="148">
        <f t="shared" si="8"/>
        <v>1768924.5116936306</v>
      </c>
      <c r="E118" s="43">
        <f t="shared" si="9"/>
        <v>10.14</v>
      </c>
      <c r="F118" s="43">
        <f t="shared" si="10"/>
        <v>81</v>
      </c>
      <c r="G118" s="43"/>
      <c r="H118" s="43"/>
      <c r="I118" s="148"/>
    </row>
    <row r="119" spans="1:9">
      <c r="A119" s="148">
        <v>15000</v>
      </c>
      <c r="B119" s="148">
        <f t="shared" si="7"/>
        <v>14947.412123811178</v>
      </c>
      <c r="C119" s="148">
        <f t="shared" si="6"/>
        <v>52.58787618882161</v>
      </c>
      <c r="D119" s="148">
        <f t="shared" si="8"/>
        <v>1768871.9238174418</v>
      </c>
      <c r="E119" s="43">
        <f t="shared" si="9"/>
        <v>10.14</v>
      </c>
      <c r="F119" s="43">
        <f t="shared" si="10"/>
        <v>82</v>
      </c>
      <c r="G119" s="43"/>
      <c r="H119" s="43"/>
      <c r="I119" s="148"/>
    </row>
    <row r="120" spans="1:9">
      <c r="A120" s="148">
        <v>15000</v>
      </c>
      <c r="B120" s="148">
        <f t="shared" si="7"/>
        <v>14946.967756257383</v>
      </c>
      <c r="C120" s="148">
        <f t="shared" si="6"/>
        <v>53.032243742616629</v>
      </c>
      <c r="D120" s="148">
        <f t="shared" si="8"/>
        <v>1768818.8915736992</v>
      </c>
      <c r="E120" s="43">
        <f t="shared" si="9"/>
        <v>10.14</v>
      </c>
      <c r="F120" s="43">
        <f t="shared" si="10"/>
        <v>83</v>
      </c>
      <c r="G120" s="43"/>
      <c r="H120" s="43"/>
      <c r="I120" s="148"/>
    </row>
    <row r="121" spans="1:9">
      <c r="A121" s="148">
        <v>15000</v>
      </c>
      <c r="B121" s="148">
        <f t="shared" si="7"/>
        <v>14946.51963379776</v>
      </c>
      <c r="C121" s="148">
        <f t="shared" si="6"/>
        <v>53.480366202240475</v>
      </c>
      <c r="D121" s="148">
        <f t="shared" si="8"/>
        <v>1768765.4112074969</v>
      </c>
      <c r="E121" s="43">
        <f t="shared" si="9"/>
        <v>10.14</v>
      </c>
      <c r="F121" s="43">
        <f t="shared" si="10"/>
        <v>84</v>
      </c>
      <c r="G121" s="43"/>
      <c r="H121" s="43"/>
      <c r="I121" s="148"/>
    </row>
    <row r="122" spans="1:9">
      <c r="A122" s="148">
        <v>15000</v>
      </c>
      <c r="B122" s="148">
        <f t="shared" si="7"/>
        <v>14946.067724703347</v>
      </c>
      <c r="C122" s="148">
        <f t="shared" si="6"/>
        <v>53.932275296652733</v>
      </c>
      <c r="D122" s="148">
        <f t="shared" si="8"/>
        <v>1768711.4789322002</v>
      </c>
      <c r="E122" s="43">
        <f t="shared" si="9"/>
        <v>10.14</v>
      </c>
      <c r="F122" s="43">
        <f t="shared" si="10"/>
        <v>85</v>
      </c>
      <c r="G122" s="43"/>
      <c r="H122" s="43"/>
      <c r="I122" s="148"/>
    </row>
    <row r="123" spans="1:9">
      <c r="A123" s="148">
        <v>15000</v>
      </c>
      <c r="B123" s="148">
        <f t="shared" si="7"/>
        <v>14945.611996977093</v>
      </c>
      <c r="C123" s="148">
        <f t="shared" si="6"/>
        <v>54.38800302290656</v>
      </c>
      <c r="D123" s="148">
        <f t="shared" si="8"/>
        <v>1768657.0909291774</v>
      </c>
      <c r="E123" s="43">
        <f t="shared" si="9"/>
        <v>10.14</v>
      </c>
      <c r="F123" s="43">
        <f t="shared" si="10"/>
        <v>86</v>
      </c>
      <c r="G123" s="43"/>
      <c r="H123" s="43"/>
      <c r="I123" s="148"/>
    </row>
    <row r="124" spans="1:9">
      <c r="A124" s="148">
        <v>15000</v>
      </c>
      <c r="B124" s="148">
        <f t="shared" si="7"/>
        <v>14945.152418351548</v>
      </c>
      <c r="C124" s="148">
        <f t="shared" si="6"/>
        <v>54.847581648451524</v>
      </c>
      <c r="D124" s="148">
        <f t="shared" si="8"/>
        <v>1768602.2433475289</v>
      </c>
      <c r="E124" s="43">
        <f t="shared" si="9"/>
        <v>10.14</v>
      </c>
      <c r="F124" s="43">
        <f t="shared" si="10"/>
        <v>87</v>
      </c>
      <c r="G124" s="43"/>
      <c r="H124" s="43"/>
      <c r="I124" s="148"/>
    </row>
    <row r="125" spans="1:9">
      <c r="A125" s="148">
        <v>15000</v>
      </c>
      <c r="B125" s="148">
        <f t="shared" si="7"/>
        <v>14944.688956286618</v>
      </c>
      <c r="C125" s="148">
        <f t="shared" si="6"/>
        <v>55.311043713381878</v>
      </c>
      <c r="D125" s="148">
        <f t="shared" si="8"/>
        <v>1768546.9323038154</v>
      </c>
      <c r="E125" s="43">
        <f t="shared" si="9"/>
        <v>10.14</v>
      </c>
      <c r="F125" s="43">
        <f t="shared" si="10"/>
        <v>88</v>
      </c>
      <c r="G125" s="43"/>
      <c r="H125" s="43"/>
      <c r="I125" s="148"/>
    </row>
    <row r="126" spans="1:9">
      <c r="A126" s="148">
        <v>15000</v>
      </c>
      <c r="B126" s="148">
        <f t="shared" si="7"/>
        <v>14944.221577967241</v>
      </c>
      <c r="C126" s="148">
        <f t="shared" si="6"/>
        <v>55.778422032759408</v>
      </c>
      <c r="D126" s="148">
        <f t="shared" si="8"/>
        <v>1768491.1538817827</v>
      </c>
      <c r="E126" s="43">
        <f t="shared" si="9"/>
        <v>10.14</v>
      </c>
      <c r="F126" s="43">
        <f t="shared" si="10"/>
        <v>89</v>
      </c>
      <c r="G126" s="43"/>
      <c r="H126" s="43"/>
      <c r="I126" s="148"/>
    </row>
    <row r="127" spans="1:9">
      <c r="A127" s="148">
        <v>15000</v>
      </c>
      <c r="B127" s="148">
        <f t="shared" si="7"/>
        <v>14943.750250301062</v>
      </c>
      <c r="C127" s="148">
        <f t="shared" si="6"/>
        <v>56.249749698938103</v>
      </c>
      <c r="D127" s="148">
        <f t="shared" si="8"/>
        <v>1768434.9041320838</v>
      </c>
      <c r="E127" s="43">
        <f t="shared" si="9"/>
        <v>10.14</v>
      </c>
      <c r="F127" s="43">
        <f t="shared" si="10"/>
        <v>90</v>
      </c>
      <c r="G127" s="43"/>
      <c r="H127" s="43"/>
      <c r="I127" s="148"/>
    </row>
    <row r="128" spans="1:9">
      <c r="A128" s="148">
        <v>15000</v>
      </c>
      <c r="B128" s="148">
        <f t="shared" si="7"/>
        <v>14943.274939916109</v>
      </c>
      <c r="C128" s="148">
        <f t="shared" si="6"/>
        <v>56.725060083890639</v>
      </c>
      <c r="D128" s="148">
        <f t="shared" si="8"/>
        <v>1768378.1790719999</v>
      </c>
      <c r="E128" s="43">
        <f t="shared" si="9"/>
        <v>10.14</v>
      </c>
      <c r="F128" s="43">
        <f t="shared" si="10"/>
        <v>91</v>
      </c>
      <c r="G128" s="43"/>
      <c r="H128" s="43"/>
      <c r="I128" s="148"/>
    </row>
    <row r="129" spans="1:9">
      <c r="A129" s="148">
        <v>15000</v>
      </c>
      <c r="B129" s="148">
        <f t="shared" si="7"/>
        <v>14942.795613158401</v>
      </c>
      <c r="C129" s="148">
        <f t="shared" si="6"/>
        <v>57.204386841598534</v>
      </c>
      <c r="D129" s="148">
        <f t="shared" si="8"/>
        <v>1768320.9746851583</v>
      </c>
      <c r="E129" s="43">
        <f t="shared" si="9"/>
        <v>10.14</v>
      </c>
      <c r="F129" s="43">
        <f t="shared" si="10"/>
        <v>92</v>
      </c>
      <c r="G129" s="43"/>
      <c r="H129" s="43"/>
      <c r="I129" s="148"/>
    </row>
    <row r="130" spans="1:9">
      <c r="A130" s="148">
        <v>15000</v>
      </c>
      <c r="B130" s="148">
        <f t="shared" si="7"/>
        <v>14942.312236089589</v>
      </c>
      <c r="C130" s="148">
        <f t="shared" si="6"/>
        <v>57.687763910411377</v>
      </c>
      <c r="D130" s="148">
        <f t="shared" si="8"/>
        <v>1768263.2869212478</v>
      </c>
      <c r="E130" s="43">
        <f t="shared" si="9"/>
        <v>10.14</v>
      </c>
      <c r="F130" s="43">
        <f t="shared" si="10"/>
        <v>93</v>
      </c>
      <c r="G130" s="43"/>
      <c r="H130" s="43"/>
      <c r="I130" s="148"/>
    </row>
    <row r="131" spans="1:9">
      <c r="A131" s="148">
        <v>15000</v>
      </c>
      <c r="B131" s="148">
        <f t="shared" si="7"/>
        <v>14941.824774484545</v>
      </c>
      <c r="C131" s="148">
        <f t="shared" si="6"/>
        <v>58.175225515455168</v>
      </c>
      <c r="D131" s="148">
        <f t="shared" si="8"/>
        <v>1768205.1116957325</v>
      </c>
      <c r="E131" s="43">
        <f t="shared" si="9"/>
        <v>10.14</v>
      </c>
      <c r="F131" s="43">
        <f t="shared" si="10"/>
        <v>94</v>
      </c>
      <c r="G131" s="43"/>
      <c r="H131" s="43"/>
      <c r="I131" s="148"/>
    </row>
    <row r="132" spans="1:9">
      <c r="A132" s="148">
        <v>15000</v>
      </c>
      <c r="B132" s="148">
        <f t="shared" si="7"/>
        <v>14941.333193828941</v>
      </c>
      <c r="C132" s="148">
        <f t="shared" si="6"/>
        <v>58.666806171058852</v>
      </c>
      <c r="D132" s="148">
        <f t="shared" si="8"/>
        <v>1768146.4448895615</v>
      </c>
      <c r="E132" s="43">
        <f t="shared" si="9"/>
        <v>10.14</v>
      </c>
      <c r="F132" s="43">
        <f t="shared" si="10"/>
        <v>95</v>
      </c>
      <c r="G132" s="43"/>
      <c r="H132" s="43"/>
      <c r="I132" s="148"/>
    </row>
    <row r="133" spans="1:9">
      <c r="A133" s="148">
        <v>15000</v>
      </c>
      <c r="B133" s="148">
        <f t="shared" si="7"/>
        <v>14940.837459316797</v>
      </c>
      <c r="C133" s="148">
        <f t="shared" si="6"/>
        <v>59.162540683202678</v>
      </c>
      <c r="D133" s="148">
        <f t="shared" si="8"/>
        <v>1768087.2823488782</v>
      </c>
      <c r="E133" s="43">
        <f t="shared" si="9"/>
        <v>10.14</v>
      </c>
      <c r="F133" s="43">
        <f t="shared" si="10"/>
        <v>96</v>
      </c>
      <c r="G133" s="43"/>
      <c r="H133" s="43"/>
      <c r="I133" s="148"/>
    </row>
    <row r="134" spans="1:9">
      <c r="A134" s="148">
        <v>15000</v>
      </c>
      <c r="B134" s="148">
        <f t="shared" si="7"/>
        <v>14940.337535848021</v>
      </c>
      <c r="C134" s="148">
        <f t="shared" si="6"/>
        <v>59.662464151979293</v>
      </c>
      <c r="D134" s="148">
        <f t="shared" si="8"/>
        <v>1768027.6198847261</v>
      </c>
      <c r="E134" s="43">
        <f t="shared" si="9"/>
        <v>10.14</v>
      </c>
      <c r="F134" s="43">
        <f t="shared" si="10"/>
        <v>97</v>
      </c>
      <c r="G134" s="43"/>
      <c r="H134" s="43"/>
      <c r="I134" s="148"/>
    </row>
    <row r="135" spans="1:9">
      <c r="A135" s="148">
        <v>15000</v>
      </c>
      <c r="B135" s="148">
        <f t="shared" si="7"/>
        <v>14939.833388025938</v>
      </c>
      <c r="C135" s="148">
        <f t="shared" si="6"/>
        <v>60.166611974062107</v>
      </c>
      <c r="D135" s="148">
        <f t="shared" si="8"/>
        <v>1767967.453272752</v>
      </c>
      <c r="E135" s="43">
        <f t="shared" si="9"/>
        <v>10.14</v>
      </c>
      <c r="F135" s="43">
        <f t="shared" si="10"/>
        <v>98</v>
      </c>
      <c r="G135" s="43"/>
      <c r="H135" s="43"/>
      <c r="I135" s="148"/>
    </row>
    <row r="136" spans="1:9">
      <c r="A136" s="148">
        <v>15000</v>
      </c>
      <c r="B136" s="148">
        <f t="shared" si="7"/>
        <v>14939.324980154755</v>
      </c>
      <c r="C136" s="148">
        <f t="shared" si="6"/>
        <v>60.675019845244606</v>
      </c>
      <c r="D136" s="148">
        <f t="shared" si="8"/>
        <v>1767906.7782529069</v>
      </c>
      <c r="E136" s="43">
        <f t="shared" si="9"/>
        <v>10.14</v>
      </c>
      <c r="F136" s="43">
        <f t="shared" si="10"/>
        <v>99</v>
      </c>
      <c r="G136" s="43"/>
      <c r="H136" s="43"/>
      <c r="I136" s="148"/>
    </row>
    <row r="137" spans="1:9">
      <c r="A137" s="148">
        <v>15000</v>
      </c>
      <c r="B137" s="148">
        <f t="shared" si="7"/>
        <v>14938.812276237064</v>
      </c>
      <c r="C137" s="148">
        <f t="shared" si="6"/>
        <v>61.187723762936002</v>
      </c>
      <c r="D137" s="148">
        <f t="shared" si="8"/>
        <v>1767845.590529144</v>
      </c>
      <c r="E137" s="43">
        <f t="shared" si="9"/>
        <v>10.14</v>
      </c>
      <c r="F137" s="43">
        <f t="shared" si="10"/>
        <v>100</v>
      </c>
      <c r="G137" s="43"/>
      <c r="H137" s="43"/>
      <c r="I137" s="148"/>
    </row>
    <row r="138" spans="1:9">
      <c r="A138" s="148">
        <v>15000</v>
      </c>
      <c r="B138" s="148">
        <f t="shared" si="7"/>
        <v>14938.295239971267</v>
      </c>
      <c r="C138" s="148">
        <f t="shared" si="6"/>
        <v>61.70476002873329</v>
      </c>
      <c r="D138" s="148">
        <f t="shared" si="8"/>
        <v>1767783.8857691153</v>
      </c>
      <c r="E138" s="43">
        <f t="shared" si="9"/>
        <v>10.14</v>
      </c>
      <c r="F138" s="43">
        <f t="shared" si="10"/>
        <v>101</v>
      </c>
      <c r="G138" s="43"/>
      <c r="H138" s="43"/>
      <c r="I138" s="148"/>
    </row>
    <row r="139" spans="1:9">
      <c r="A139" s="148">
        <v>15000</v>
      </c>
      <c r="B139" s="148">
        <f t="shared" si="7"/>
        <v>14937.773834749025</v>
      </c>
      <c r="C139" s="148">
        <f t="shared" si="6"/>
        <v>62.2261652509751</v>
      </c>
      <c r="D139" s="148">
        <f t="shared" si="8"/>
        <v>1767721.6596038644</v>
      </c>
      <c r="E139" s="43">
        <f t="shared" si="9"/>
        <v>10.14</v>
      </c>
      <c r="F139" s="43">
        <f t="shared" si="10"/>
        <v>102</v>
      </c>
      <c r="G139" s="43"/>
      <c r="H139" s="43"/>
      <c r="I139" s="148"/>
    </row>
    <row r="140" spans="1:9">
      <c r="A140" s="148">
        <v>15000</v>
      </c>
      <c r="B140" s="148">
        <f t="shared" si="7"/>
        <v>14937.248023652655</v>
      </c>
      <c r="C140" s="148">
        <f t="shared" si="6"/>
        <v>62.75197634734468</v>
      </c>
      <c r="D140" s="148">
        <f t="shared" si="8"/>
        <v>1767658.9076275171</v>
      </c>
      <c r="E140" s="43">
        <f t="shared" si="9"/>
        <v>10.14</v>
      </c>
      <c r="F140" s="43">
        <f t="shared" si="10"/>
        <v>103</v>
      </c>
      <c r="G140" s="43"/>
      <c r="H140" s="43"/>
      <c r="I140" s="148"/>
    </row>
    <row r="141" spans="1:9">
      <c r="A141" s="148">
        <v>15000</v>
      </c>
      <c r="B141" s="148">
        <f t="shared" si="7"/>
        <v>14936.717769452518</v>
      </c>
      <c r="C141" s="148">
        <f t="shared" si="6"/>
        <v>63.282230547481959</v>
      </c>
      <c r="D141" s="148">
        <f t="shared" si="8"/>
        <v>1767595.6253969697</v>
      </c>
      <c r="E141" s="43">
        <f t="shared" si="9"/>
        <v>10.14</v>
      </c>
      <c r="F141" s="43">
        <f t="shared" si="10"/>
        <v>104</v>
      </c>
      <c r="G141" s="43"/>
      <c r="H141" s="43"/>
      <c r="I141" s="148"/>
    </row>
    <row r="142" spans="1:9">
      <c r="A142" s="148">
        <v>15000</v>
      </c>
      <c r="B142" s="148">
        <f t="shared" si="7"/>
        <v>14936.183034604393</v>
      </c>
      <c r="C142" s="148">
        <f t="shared" si="6"/>
        <v>63.81696539560653</v>
      </c>
      <c r="D142" s="148">
        <f t="shared" si="8"/>
        <v>1767531.8084315741</v>
      </c>
      <c r="E142" s="43">
        <f t="shared" si="9"/>
        <v>10.14</v>
      </c>
      <c r="F142" s="43">
        <f t="shared" si="10"/>
        <v>105</v>
      </c>
      <c r="G142" s="43"/>
      <c r="H142" s="43"/>
      <c r="I142" s="148"/>
    </row>
    <row r="143" spans="1:9">
      <c r="A143" s="148">
        <v>15000</v>
      </c>
      <c r="B143" s="148">
        <f t="shared" si="7"/>
        <v>14935.643781246805</v>
      </c>
      <c r="C143" s="148">
        <f t="shared" si="6"/>
        <v>64.356218753195208</v>
      </c>
      <c r="D143" s="148">
        <f t="shared" si="8"/>
        <v>1767467.452212821</v>
      </c>
      <c r="E143" s="43">
        <f t="shared" si="9"/>
        <v>10.14</v>
      </c>
      <c r="F143" s="43">
        <f t="shared" si="10"/>
        <v>106</v>
      </c>
      <c r="G143" s="43"/>
      <c r="H143" s="43"/>
      <c r="I143" s="148"/>
    </row>
    <row r="144" spans="1:9">
      <c r="A144" s="148">
        <v>15000</v>
      </c>
      <c r="B144" s="148">
        <f t="shared" si="7"/>
        <v>14935.099971198337</v>
      </c>
      <c r="C144" s="148">
        <f t="shared" si="6"/>
        <v>64.900028801663211</v>
      </c>
      <c r="D144" s="148">
        <f t="shared" si="8"/>
        <v>1767402.5521840192</v>
      </c>
      <c r="E144" s="43">
        <f t="shared" si="9"/>
        <v>10.14</v>
      </c>
      <c r="F144" s="43">
        <f t="shared" si="10"/>
        <v>107</v>
      </c>
      <c r="G144" s="43"/>
      <c r="H144" s="43"/>
      <c r="I144" s="148"/>
    </row>
    <row r="145" spans="1:9">
      <c r="A145" s="148">
        <v>15000</v>
      </c>
      <c r="B145" s="148">
        <f t="shared" si="7"/>
        <v>14934.551565954964</v>
      </c>
      <c r="C145" s="148">
        <f t="shared" si="6"/>
        <v>65.448434045036265</v>
      </c>
      <c r="D145" s="148">
        <f t="shared" si="8"/>
        <v>1767337.1037499742</v>
      </c>
      <c r="E145" s="43">
        <f t="shared" si="9"/>
        <v>10.14</v>
      </c>
      <c r="F145" s="43">
        <f t="shared" si="10"/>
        <v>108</v>
      </c>
      <c r="G145" s="43"/>
      <c r="H145" s="43"/>
      <c r="I145" s="148"/>
    </row>
    <row r="146" spans="1:9">
      <c r="A146" s="148">
        <v>15000</v>
      </c>
      <c r="B146" s="148">
        <f t="shared" si="7"/>
        <v>14933.998526687283</v>
      </c>
      <c r="C146" s="148">
        <f t="shared" si="6"/>
        <v>66.00147331271728</v>
      </c>
      <c r="D146" s="148">
        <f t="shared" si="8"/>
        <v>1767271.1022766614</v>
      </c>
      <c r="E146" s="43">
        <f t="shared" si="9"/>
        <v>10.14</v>
      </c>
      <c r="F146" s="43">
        <f t="shared" si="10"/>
        <v>109</v>
      </c>
      <c r="G146" s="43"/>
      <c r="H146" s="43"/>
      <c r="I146" s="148"/>
    </row>
    <row r="147" spans="1:9">
      <c r="A147" s="148">
        <v>15000</v>
      </c>
      <c r="B147" s="148">
        <f t="shared" si="7"/>
        <v>14933.440814237789</v>
      </c>
      <c r="C147" s="148">
        <f t="shared" si="6"/>
        <v>66.5591857622112</v>
      </c>
      <c r="D147" s="148">
        <f t="shared" si="8"/>
        <v>1767204.5430908992</v>
      </c>
      <c r="E147" s="43">
        <f t="shared" si="9"/>
        <v>10.14</v>
      </c>
      <c r="F147" s="43">
        <f t="shared" si="10"/>
        <v>110</v>
      </c>
      <c r="G147" s="43"/>
      <c r="H147" s="43"/>
      <c r="I147" s="148"/>
    </row>
    <row r="148" spans="1:9">
      <c r="A148" s="148">
        <v>15000</v>
      </c>
      <c r="B148" s="148">
        <f t="shared" si="7"/>
        <v>14932.878389118099</v>
      </c>
      <c r="C148" s="148">
        <f t="shared" si="6"/>
        <v>67.121610881900779</v>
      </c>
      <c r="D148" s="148">
        <f t="shared" si="8"/>
        <v>1767137.4214800172</v>
      </c>
      <c r="E148" s="43">
        <f t="shared" si="9"/>
        <v>10.14</v>
      </c>
      <c r="F148" s="43">
        <f t="shared" si="10"/>
        <v>111</v>
      </c>
      <c r="G148" s="43"/>
      <c r="H148" s="43"/>
      <c r="I148" s="148"/>
    </row>
    <row r="149" spans="1:9">
      <c r="A149" s="148">
        <v>15000</v>
      </c>
      <c r="B149" s="148">
        <f t="shared" si="7"/>
        <v>14932.311211506147</v>
      </c>
      <c r="C149" s="148">
        <f t="shared" si="6"/>
        <v>67.688788493853281</v>
      </c>
      <c r="D149" s="148">
        <f t="shared" si="8"/>
        <v>1767069.7326915234</v>
      </c>
      <c r="E149" s="43">
        <f t="shared" si="9"/>
        <v>10.14</v>
      </c>
      <c r="F149" s="43">
        <f t="shared" si="10"/>
        <v>112</v>
      </c>
      <c r="G149" s="43"/>
      <c r="H149" s="43"/>
      <c r="I149" s="148"/>
    </row>
    <row r="150" spans="1:9">
      <c r="A150" s="148">
        <v>15000</v>
      </c>
      <c r="B150" s="148">
        <f t="shared" si="7"/>
        <v>14931.739241243375</v>
      </c>
      <c r="C150" s="148">
        <f t="shared" si="6"/>
        <v>68.260758756625364</v>
      </c>
      <c r="D150" s="148">
        <f t="shared" si="8"/>
        <v>1767001.4719327667</v>
      </c>
      <c r="E150" s="43">
        <f t="shared" si="9"/>
        <v>10.14</v>
      </c>
      <c r="F150" s="43">
        <f t="shared" si="10"/>
        <v>113</v>
      </c>
      <c r="G150" s="43"/>
      <c r="H150" s="43"/>
      <c r="I150" s="148"/>
    </row>
    <row r="151" spans="1:9">
      <c r="A151" s="148">
        <v>15000</v>
      </c>
      <c r="B151" s="148">
        <f t="shared" si="7"/>
        <v>14931.162437831881</v>
      </c>
      <c r="C151" s="148">
        <f t="shared" si="6"/>
        <v>68.837562168118893</v>
      </c>
      <c r="D151" s="148">
        <f t="shared" si="8"/>
        <v>1766932.6343705987</v>
      </c>
      <c r="E151" s="43">
        <f t="shared" si="9"/>
        <v>10.14</v>
      </c>
      <c r="F151" s="43">
        <f t="shared" si="10"/>
        <v>114</v>
      </c>
      <c r="G151" s="43"/>
      <c r="H151" s="43"/>
      <c r="I151" s="148"/>
    </row>
    <row r="152" spans="1:9">
      <c r="A152" s="148">
        <v>15000</v>
      </c>
      <c r="B152" s="148">
        <f t="shared" si="7"/>
        <v>14930.580760431561</v>
      </c>
      <c r="C152" s="148">
        <f t="shared" si="6"/>
        <v>69.41923956843857</v>
      </c>
      <c r="D152" s="148">
        <f t="shared" si="8"/>
        <v>1766863.2151310302</v>
      </c>
      <c r="E152" s="43">
        <f t="shared" si="9"/>
        <v>10.14</v>
      </c>
      <c r="F152" s="43">
        <f t="shared" si="10"/>
        <v>115</v>
      </c>
      <c r="G152" s="43"/>
      <c r="H152" s="43"/>
      <c r="I152" s="148"/>
    </row>
    <row r="153" spans="1:9">
      <c r="A153" s="148">
        <v>15000</v>
      </c>
      <c r="B153" s="148">
        <f t="shared" si="7"/>
        <v>14929.994167857207</v>
      </c>
      <c r="C153" s="148">
        <f t="shared" si="6"/>
        <v>70.005832142793224</v>
      </c>
      <c r="D153" s="148">
        <f t="shared" si="8"/>
        <v>1766793.2092988873</v>
      </c>
      <c r="E153" s="43">
        <f t="shared" si="9"/>
        <v>10.14</v>
      </c>
      <c r="F153" s="43">
        <f t="shared" si="10"/>
        <v>116</v>
      </c>
      <c r="G153" s="43"/>
      <c r="H153" s="43"/>
      <c r="I153" s="148"/>
    </row>
    <row r="154" spans="1:9">
      <c r="A154" s="148">
        <v>15000</v>
      </c>
      <c r="B154" s="148">
        <f t="shared" si="7"/>
        <v>14929.402618575599</v>
      </c>
      <c r="C154" s="148">
        <f t="shared" si="6"/>
        <v>70.597381424400737</v>
      </c>
      <c r="D154" s="148">
        <f t="shared" si="8"/>
        <v>1766722.6119174629</v>
      </c>
      <c r="E154" s="43">
        <f t="shared" si="9"/>
        <v>10.14</v>
      </c>
      <c r="F154" s="43">
        <f t="shared" si="10"/>
        <v>117</v>
      </c>
      <c r="G154" s="43"/>
      <c r="H154" s="43"/>
      <c r="I154" s="148"/>
    </row>
    <row r="155" spans="1:9">
      <c r="A155" s="148">
        <v>15000</v>
      </c>
      <c r="B155" s="148">
        <f t="shared" si="7"/>
        <v>14928.806070702563</v>
      </c>
      <c r="C155" s="148">
        <f t="shared" si="6"/>
        <v>71.193929297436625</v>
      </c>
      <c r="D155" s="148">
        <f t="shared" si="8"/>
        <v>1766651.4179881655</v>
      </c>
      <c r="E155" s="43">
        <f t="shared" si="9"/>
        <v>10.14</v>
      </c>
      <c r="F155" s="43">
        <f t="shared" si="10"/>
        <v>118</v>
      </c>
      <c r="G155" s="43"/>
      <c r="H155" s="43"/>
      <c r="I155" s="148"/>
    </row>
    <row r="156" spans="1:9">
      <c r="A156" s="148">
        <v>15000</v>
      </c>
      <c r="B156" s="148">
        <f t="shared" si="7"/>
        <v>14928.204481999999</v>
      </c>
      <c r="C156" s="148">
        <f t="shared" si="6"/>
        <v>71.795518000000811</v>
      </c>
      <c r="D156" s="148">
        <f t="shared" si="8"/>
        <v>1766579.6224701656</v>
      </c>
      <c r="E156" s="43">
        <f t="shared" si="9"/>
        <v>10.14</v>
      </c>
      <c r="F156" s="43">
        <f t="shared" si="10"/>
        <v>119</v>
      </c>
      <c r="G156" s="43"/>
      <c r="H156" s="43"/>
      <c r="I156" s="148"/>
    </row>
    <row r="157" spans="1:9">
      <c r="A157" s="148">
        <v>15000</v>
      </c>
      <c r="B157" s="148">
        <f t="shared" si="7"/>
        <v>14927.597809872901</v>
      </c>
      <c r="C157" s="148">
        <f t="shared" si="6"/>
        <v>72.402190127098947</v>
      </c>
      <c r="D157" s="148">
        <f t="shared" si="8"/>
        <v>1766507.2202800384</v>
      </c>
      <c r="E157" s="43">
        <f t="shared" si="9"/>
        <v>10.14</v>
      </c>
      <c r="F157" s="43">
        <f t="shared" si="10"/>
        <v>120</v>
      </c>
      <c r="G157" s="43"/>
      <c r="H157" s="43"/>
      <c r="I157" s="148"/>
    </row>
  </sheetData>
  <mergeCells count="2">
    <mergeCell ref="A1:D1"/>
    <mergeCell ref="A34:I3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31</vt:i4>
      </vt:variant>
    </vt:vector>
  </HeadingPairs>
  <TitlesOfParts>
    <vt:vector size="31" baseType="lpstr">
      <vt:lpstr>Control Inversión BK2</vt:lpstr>
      <vt:lpstr>SOLARES  2, 4 Y 5 JMR EST</vt:lpstr>
      <vt:lpstr>ENSUEÑO 5 FRANCISCO MARTINEZ</vt:lpstr>
      <vt:lpstr>Control Inversión</vt:lpstr>
      <vt:lpstr>Gastos</vt:lpstr>
      <vt:lpstr>FACTIBILIDAD</vt:lpstr>
      <vt:lpstr>Francis Rodríguez</vt:lpstr>
      <vt:lpstr>Sheila Flores</vt:lpstr>
      <vt:lpstr>Ariel Batista</vt:lpstr>
      <vt:lpstr>Pablo Vecino</vt:lpstr>
      <vt:lpstr>AGOSTO</vt:lpstr>
      <vt:lpstr>JULIO</vt:lpstr>
      <vt:lpstr>JUNIO</vt:lpstr>
      <vt:lpstr>MAYO</vt:lpstr>
      <vt:lpstr>Contabilidad RP</vt:lpstr>
      <vt:lpstr>ABRIL</vt:lpstr>
      <vt:lpstr>MARZO</vt:lpstr>
      <vt:lpstr>FEBRERO</vt:lpstr>
      <vt:lpstr>ENERO</vt:lpstr>
      <vt:lpstr>Control Inversión BK</vt:lpstr>
      <vt:lpstr>Hoja1</vt:lpstr>
      <vt:lpstr>Hoja2</vt:lpstr>
      <vt:lpstr>CG DICIEMBRE</vt:lpstr>
      <vt:lpstr>CG NOVIEMBRE</vt:lpstr>
      <vt:lpstr>CG OCTUBRE</vt:lpstr>
      <vt:lpstr>CG SEPTIEMBRE</vt:lpstr>
      <vt:lpstr>CG Agosto</vt:lpstr>
      <vt:lpstr>CG Mayo</vt:lpstr>
      <vt:lpstr>CG Junio</vt:lpstr>
      <vt:lpstr>CG Julio</vt:lpstr>
      <vt:lpstr>VILLA DON JOSE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JMS</dc:creator>
  <cp:keywords/>
  <dc:description/>
  <cp:lastModifiedBy>USER</cp:lastModifiedBy>
  <cp:revision>7</cp:revision>
  <dcterms:created xsi:type="dcterms:W3CDTF">2023-03-31T15:11:28Z</dcterms:created>
  <dcterms:modified xsi:type="dcterms:W3CDTF">2025-12-10T19:50:24Z</dcterms:modified>
  <cp:category/>
  <cp:contentStatus/>
</cp:coreProperties>
</file>